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threadedComments/threadedComment1.xml" ContentType="application/vnd.ms-excel.threaded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pivotTables/pivotTable1.xml" ContentType="application/vnd.openxmlformats-officedocument.spreadsheetml.pivotTable+xml"/>
  <Override PartName="/xl/comments8.xml" ContentType="application/vnd.openxmlformats-officedocument.spreadsheetml.comments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omments9.xml" ContentType="application/vnd.openxmlformats-officedocument.spreadsheetml.comments+xml"/>
  <Override PartName="/xl/threadedComments/threadedComment2.xml" ContentType="application/vnd.ms-excel.threadedcomments+xml"/>
  <Override PartName="/xl/comments10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!Projekty\SIZP\"/>
    </mc:Choice>
  </mc:AlternateContent>
  <xr:revisionPtr revIDLastSave="0" documentId="13_ncr:1_{F746855C-E55F-4D51-84F0-C40F292FEEB8}" xr6:coauthVersionLast="47" xr6:coauthVersionMax="47" xr10:uidLastSave="{00000000-0000-0000-0000-000000000000}"/>
  <bookViews>
    <workbookView xWindow="-120" yWindow="-120" windowWidth="29040" windowHeight="15720" tabRatio="889" firstSheet="5" activeTab="8" xr2:uid="{00000000-000D-0000-FFFF-FFFF00000000}"/>
  </bookViews>
  <sheets>
    <sheet name="Úvod" sheetId="5" r:id="rId1"/>
    <sheet name="Zoznam hárkov" sheetId="25" r:id="rId2"/>
    <sheet name="Sumarizácia" sheetId="20" r:id="rId3"/>
    <sheet name="CBA - Agendové IS" sheetId="2" r:id="rId4"/>
    <sheet name="Návratnosť v rokoch" sheetId="31" r:id="rId5"/>
    <sheet name="Analyza citlivosti - AgendovéIS" sheetId="7" r:id="rId6"/>
    <sheet name="Prínosy - Agendové IS" sheetId="4" r:id="rId7"/>
    <sheet name="Výdavky - Agendové IS" sheetId="6" r:id="rId8"/>
    <sheet name="Parametre - Agendové IS" sheetId="3" r:id="rId9"/>
    <sheet name="TCO" sheetId="11" r:id="rId10"/>
    <sheet name="TCO AS IS - SW" sheetId="17" r:id="rId11"/>
    <sheet name="TCO AS IS - HW" sheetId="18" r:id="rId12"/>
    <sheet name="TCO TO BE- SW" sheetId="9" r:id="rId13"/>
    <sheet name="TCO TO BE - HW" sheetId="10" r:id="rId14"/>
    <sheet name="Prevodník rozpočet na TCO" sheetId="41" r:id="rId15"/>
    <sheet name="Rozpocet_koniec_projektu" sheetId="40" r:id="rId16"/>
    <sheet name="Rozpočet - vývoj Aplikácií" sheetId="19" r:id="rId17"/>
    <sheet name="Rozpočet - HW a licencie" sheetId="27" r:id="rId18"/>
    <sheet name="Faktory" sheetId="1" r:id="rId19"/>
    <sheet name="Procesné mapy" sheetId="22" r:id="rId20"/>
    <sheet name="Procesy - AS IS" sheetId="23" r:id="rId21"/>
    <sheet name="Procesy - ∆" sheetId="33" r:id="rId22"/>
    <sheet name="Procesy - TO BE" sheetId="24" r:id="rId23"/>
    <sheet name="Štatistika meraní" sheetId="35" r:id="rId24"/>
    <sheet name="Počet inšpektorov" sheetId="34" r:id="rId25"/>
    <sheet name="Optimalizačné opatrenia" sheetId="32" r:id="rId26"/>
    <sheet name="Rozdelenie prínosov" sheetId="14" r:id="rId27"/>
    <sheet name="Slepý rozpočet" sheetId="26" r:id="rId28"/>
    <sheet name="Indik_rozp.-ALFABASE" sheetId="36" r:id="rId29"/>
    <sheet name="Indik_rozp.YMS" sheetId="37" r:id="rId30"/>
    <sheet name="Indik_rozp.-ASPECTA" sheetId="38" r:id="rId31"/>
  </sheets>
  <definedNames>
    <definedName name="_xlnm._FilterDatabase" localSheetId="28" hidden="1">'Indik_rozp.-ALFABASE'!$B$78:$B$115</definedName>
    <definedName name="_xlnm._FilterDatabase" localSheetId="30" hidden="1">'Indik_rozp.-ASPECTA'!$B$78:$B$115</definedName>
    <definedName name="_xlnm._FilterDatabase" localSheetId="29" hidden="1">Indik_rozp.YMS!$B$78:$B$115</definedName>
    <definedName name="_xlnm._FilterDatabase" localSheetId="15" hidden="1">Rozpocet_koniec_projektu!$A$2:$X$151</definedName>
    <definedName name="_xlnm._FilterDatabase" localSheetId="27" hidden="1">'Slepý rozpočet'!$B$78:$B$115</definedName>
    <definedName name="_xlnm._FilterDatabase" localSheetId="12" hidden="1">'TCO TO BE- SW'!$G$1:$G$170</definedName>
    <definedName name="Zvysenie__ZvyseniePerc" localSheetId="28">#REF!</definedName>
    <definedName name="Zvysenie__ZvyseniePerc" localSheetId="30">#REF!</definedName>
    <definedName name="Zvysenie__ZvyseniePerc" localSheetId="29">#REF!</definedName>
    <definedName name="Zvysenie__ZvyseniePerc" localSheetId="21">#REF!</definedName>
    <definedName name="Zvysenie__ZvyseniePerc" localSheetId="23">#REF!</definedName>
    <definedName name="Zvysenie__ZvyseniePerc">#REF!</definedName>
  </definedNames>
  <calcPr calcId="191029"/>
  <pivotCaches>
    <pivotCache cacheId="2" r:id="rId32"/>
    <pivotCache cacheId="3" r:id="rId3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2" i="9" l="1"/>
  <c r="J111" i="9"/>
  <c r="I112" i="9"/>
  <c r="I111" i="9"/>
  <c r="H112" i="9"/>
  <c r="H111" i="9"/>
  <c r="G112" i="9"/>
  <c r="G111" i="9"/>
  <c r="AD6" i="24"/>
  <c r="C28" i="34"/>
  <c r="C17" i="34"/>
  <c r="K17" i="34" s="1"/>
  <c r="C29" i="34" s="1"/>
  <c r="C30" i="34" s="1"/>
  <c r="C43" i="1"/>
  <c r="C44" i="1" s="1"/>
  <c r="AD7" i="33"/>
  <c r="D10" i="1" l="1"/>
  <c r="G34" i="1"/>
  <c r="G28" i="1"/>
  <c r="G81" i="9" s="1"/>
  <c r="G27" i="1"/>
  <c r="G91" i="9" s="1"/>
  <c r="D34" i="1"/>
  <c r="E34" i="1" s="1"/>
  <c r="F34" i="1" s="1"/>
  <c r="M150" i="40"/>
  <c r="M149" i="40"/>
  <c r="N149" i="40" s="1"/>
  <c r="M148" i="40"/>
  <c r="M147" i="40"/>
  <c r="M146" i="40"/>
  <c r="M144" i="40"/>
  <c r="N144" i="40" s="1"/>
  <c r="M143" i="40"/>
  <c r="M142" i="40"/>
  <c r="M141" i="40"/>
  <c r="M140" i="40"/>
  <c r="N140" i="40" s="1"/>
  <c r="K139" i="40"/>
  <c r="M139" i="40" s="1"/>
  <c r="K138" i="40"/>
  <c r="J138" i="40"/>
  <c r="M138" i="40" s="1"/>
  <c r="K137" i="40"/>
  <c r="J137" i="40"/>
  <c r="K136" i="40"/>
  <c r="M136" i="40" s="1"/>
  <c r="J136" i="40"/>
  <c r="K135" i="40"/>
  <c r="J135" i="40"/>
  <c r="K134" i="40"/>
  <c r="J134" i="40"/>
  <c r="K132" i="40"/>
  <c r="J132" i="40"/>
  <c r="K131" i="40"/>
  <c r="J131" i="40"/>
  <c r="K130" i="40"/>
  <c r="J130" i="40"/>
  <c r="M130" i="40" s="1"/>
  <c r="K129" i="40"/>
  <c r="M129" i="40" s="1"/>
  <c r="K128" i="40"/>
  <c r="J128" i="40"/>
  <c r="K127" i="40"/>
  <c r="J127" i="40"/>
  <c r="K126" i="40"/>
  <c r="J126" i="40"/>
  <c r="M126" i="40" s="1"/>
  <c r="M125" i="40"/>
  <c r="N125" i="40" s="1"/>
  <c r="M124" i="40"/>
  <c r="M123" i="40"/>
  <c r="N123" i="40" s="1"/>
  <c r="M122" i="40"/>
  <c r="M121" i="40"/>
  <c r="N121" i="40" s="1"/>
  <c r="M120" i="40"/>
  <c r="M119" i="40"/>
  <c r="M118" i="40"/>
  <c r="M117" i="40"/>
  <c r="N117" i="40" s="1"/>
  <c r="M116" i="40"/>
  <c r="M115" i="40"/>
  <c r="M114" i="40"/>
  <c r="M113" i="40"/>
  <c r="N113" i="40" s="1"/>
  <c r="M112" i="40"/>
  <c r="K110" i="40"/>
  <c r="J110" i="40"/>
  <c r="M110" i="40" s="1"/>
  <c r="K109" i="40"/>
  <c r="J109" i="40"/>
  <c r="K108" i="40"/>
  <c r="J108" i="40"/>
  <c r="K107" i="40"/>
  <c r="J107" i="40"/>
  <c r="M107" i="40" s="1"/>
  <c r="K106" i="40"/>
  <c r="J106" i="40"/>
  <c r="K105" i="40"/>
  <c r="J105" i="40"/>
  <c r="K104" i="40"/>
  <c r="J104" i="40"/>
  <c r="M103" i="40"/>
  <c r="N103" i="40" s="1"/>
  <c r="M102" i="40"/>
  <c r="N102" i="40" s="1"/>
  <c r="Q102" i="40" s="1"/>
  <c r="M101" i="40"/>
  <c r="N101" i="40" s="1"/>
  <c r="M100" i="40"/>
  <c r="M99" i="40"/>
  <c r="N99" i="40" s="1"/>
  <c r="M98" i="40"/>
  <c r="M97" i="40"/>
  <c r="N97" i="40" s="1"/>
  <c r="M96" i="40"/>
  <c r="M95" i="40"/>
  <c r="N95" i="40" s="1"/>
  <c r="M94" i="40"/>
  <c r="M93" i="40"/>
  <c r="N93" i="40" s="1"/>
  <c r="M92" i="40"/>
  <c r="N92" i="40" s="1"/>
  <c r="Q92" i="40" s="1"/>
  <c r="M91" i="40"/>
  <c r="N91" i="40" s="1"/>
  <c r="K89" i="40"/>
  <c r="J89" i="40"/>
  <c r="M89" i="40" s="1"/>
  <c r="K88" i="40"/>
  <c r="J88" i="40"/>
  <c r="K87" i="40"/>
  <c r="J87" i="40"/>
  <c r="K86" i="40"/>
  <c r="J86" i="40"/>
  <c r="K85" i="40"/>
  <c r="J85" i="40"/>
  <c r="K84" i="40"/>
  <c r="J84" i="40"/>
  <c r="K83" i="40"/>
  <c r="J83" i="40"/>
  <c r="M82" i="40"/>
  <c r="N82" i="40" s="1"/>
  <c r="M81" i="40"/>
  <c r="N81" i="40" s="1"/>
  <c r="Q81" i="40" s="1"/>
  <c r="M80" i="40"/>
  <c r="M79" i="40"/>
  <c r="M78" i="40"/>
  <c r="N78" i="40" s="1"/>
  <c r="M77" i="40"/>
  <c r="M76" i="40"/>
  <c r="M75" i="40"/>
  <c r="M74" i="40"/>
  <c r="N74" i="40" s="1"/>
  <c r="M73" i="40"/>
  <c r="M72" i="40"/>
  <c r="M71" i="40"/>
  <c r="M70" i="40"/>
  <c r="N70" i="40" s="1"/>
  <c r="M69" i="40"/>
  <c r="M68" i="40"/>
  <c r="M67" i="40"/>
  <c r="M66" i="40"/>
  <c r="N66" i="40" s="1"/>
  <c r="M65" i="40"/>
  <c r="M64" i="40"/>
  <c r="M63" i="40"/>
  <c r="M62" i="40"/>
  <c r="N62" i="40" s="1"/>
  <c r="M61" i="40"/>
  <c r="M60" i="40"/>
  <c r="M59" i="40"/>
  <c r="M58" i="40"/>
  <c r="N58" i="40" s="1"/>
  <c r="M57" i="40"/>
  <c r="M56" i="40"/>
  <c r="M55" i="40"/>
  <c r="M53" i="40"/>
  <c r="N53" i="40" s="1"/>
  <c r="M52" i="40"/>
  <c r="Q51" i="40"/>
  <c r="M51" i="40"/>
  <c r="M50" i="40"/>
  <c r="N50" i="40" s="1"/>
  <c r="Q50" i="40" s="1"/>
  <c r="M49" i="40"/>
  <c r="N49" i="40" s="1"/>
  <c r="Q49" i="40" s="1"/>
  <c r="K47" i="40"/>
  <c r="J47" i="40"/>
  <c r="K46" i="40"/>
  <c r="J46" i="40"/>
  <c r="M46" i="40" s="1"/>
  <c r="N46" i="40" s="1"/>
  <c r="Q46" i="40" s="1"/>
  <c r="K45" i="40"/>
  <c r="J45" i="40"/>
  <c r="K44" i="40"/>
  <c r="J44" i="40"/>
  <c r="K43" i="40"/>
  <c r="J43" i="40"/>
  <c r="K42" i="40"/>
  <c r="J42" i="40"/>
  <c r="M41" i="40"/>
  <c r="N41" i="40" s="1"/>
  <c r="M40" i="40"/>
  <c r="M39" i="40"/>
  <c r="M38" i="40"/>
  <c r="M37" i="40"/>
  <c r="N37" i="40" s="1"/>
  <c r="M36" i="40"/>
  <c r="M35" i="40"/>
  <c r="M34" i="40"/>
  <c r="M33" i="40"/>
  <c r="N33" i="40" s="1"/>
  <c r="M32" i="40"/>
  <c r="M31" i="40"/>
  <c r="M30" i="40"/>
  <c r="N30" i="40" s="1"/>
  <c r="Q30" i="40" s="1"/>
  <c r="M29" i="40"/>
  <c r="N29" i="40" s="1"/>
  <c r="M28" i="40"/>
  <c r="M27" i="40"/>
  <c r="M26" i="40"/>
  <c r="M25" i="40"/>
  <c r="N25" i="40" s="1"/>
  <c r="M24" i="40"/>
  <c r="M23" i="40"/>
  <c r="M22" i="40"/>
  <c r="M21" i="40"/>
  <c r="N21" i="40" s="1"/>
  <c r="M20" i="40"/>
  <c r="M19" i="40"/>
  <c r="M18" i="40"/>
  <c r="N18" i="40" s="1"/>
  <c r="Q18" i="40" s="1"/>
  <c r="M17" i="40"/>
  <c r="N17" i="40" s="1"/>
  <c r="M16" i="40"/>
  <c r="M15" i="40"/>
  <c r="M14" i="40"/>
  <c r="M13" i="40"/>
  <c r="N13" i="40" s="1"/>
  <c r="M12" i="40"/>
  <c r="M11" i="40"/>
  <c r="M10" i="40"/>
  <c r="M9" i="40"/>
  <c r="N9" i="40" s="1"/>
  <c r="M8" i="40"/>
  <c r="N8" i="40" s="1"/>
  <c r="Q8" i="40" s="1"/>
  <c r="M7" i="40"/>
  <c r="M6" i="40"/>
  <c r="M5" i="40"/>
  <c r="N5" i="40" s="1"/>
  <c r="M104" i="40" l="1"/>
  <c r="M105" i="40"/>
  <c r="M84" i="40"/>
  <c r="M106" i="40"/>
  <c r="M132" i="40"/>
  <c r="M44" i="40"/>
  <c r="M86" i="40"/>
  <c r="M128" i="40"/>
  <c r="M88" i="40"/>
  <c r="M43" i="40"/>
  <c r="M85" i="40"/>
  <c r="M108" i="40"/>
  <c r="N108" i="40" s="1"/>
  <c r="Q108" i="40" s="1"/>
  <c r="M134" i="40"/>
  <c r="N134" i="40" s="1"/>
  <c r="Q134" i="40" s="1"/>
  <c r="M109" i="40"/>
  <c r="N109" i="40" s="1"/>
  <c r="Q109" i="40" s="1"/>
  <c r="M87" i="40"/>
  <c r="M42" i="40"/>
  <c r="M83" i="40"/>
  <c r="M137" i="40"/>
  <c r="M45" i="40"/>
  <c r="M131" i="40"/>
  <c r="M135" i="40"/>
  <c r="M47" i="40"/>
  <c r="M127" i="40"/>
  <c r="Q82" i="40"/>
  <c r="O82" i="40"/>
  <c r="N84" i="40"/>
  <c r="Q84" i="40" s="1"/>
  <c r="Q9" i="40"/>
  <c r="O9" i="40"/>
  <c r="N136" i="40"/>
  <c r="Q136" i="40" s="1"/>
  <c r="Q29" i="40"/>
  <c r="O29" i="40"/>
  <c r="O70" i="40"/>
  <c r="Q70" i="40"/>
  <c r="Q117" i="40"/>
  <c r="O117" i="40"/>
  <c r="N130" i="40"/>
  <c r="Q130" i="40" s="1"/>
  <c r="O17" i="40"/>
  <c r="Q17" i="40"/>
  <c r="Q58" i="40"/>
  <c r="O58" i="40"/>
  <c r="O123" i="40"/>
  <c r="Q123" i="40"/>
  <c r="Q144" i="40"/>
  <c r="O144" i="40"/>
  <c r="N138" i="40"/>
  <c r="Q138" i="40" s="1"/>
  <c r="Q25" i="40"/>
  <c r="O25" i="40"/>
  <c r="Q66" i="40"/>
  <c r="O66" i="40"/>
  <c r="N137" i="40"/>
  <c r="Q137" i="40" s="1"/>
  <c r="N43" i="40"/>
  <c r="Q43" i="40" s="1"/>
  <c r="Q53" i="40"/>
  <c r="O53" i="40"/>
  <c r="N107" i="40"/>
  <c r="Q107" i="40" s="1"/>
  <c r="O33" i="40"/>
  <c r="Q33" i="40"/>
  <c r="N87" i="40"/>
  <c r="Q87" i="40" s="1"/>
  <c r="Q101" i="40"/>
  <c r="O101" i="40"/>
  <c r="Q21" i="40"/>
  <c r="O21" i="40"/>
  <c r="N105" i="40"/>
  <c r="Q105" i="40" s="1"/>
  <c r="Q91" i="40"/>
  <c r="O91" i="40"/>
  <c r="Q13" i="40"/>
  <c r="O13" i="40"/>
  <c r="Q74" i="40"/>
  <c r="O74" i="40"/>
  <c r="O41" i="40"/>
  <c r="Q41" i="40"/>
  <c r="Q113" i="40"/>
  <c r="O113" i="40"/>
  <c r="N42" i="40"/>
  <c r="Q42" i="40" s="1"/>
  <c r="Q93" i="40"/>
  <c r="O93" i="40"/>
  <c r="N129" i="40"/>
  <c r="Q129" i="40" s="1"/>
  <c r="Q95" i="40"/>
  <c r="O95" i="40"/>
  <c r="N139" i="40"/>
  <c r="Q139" i="40" s="1"/>
  <c r="Q140" i="40"/>
  <c r="O140" i="40"/>
  <c r="Q97" i="40"/>
  <c r="O97" i="40"/>
  <c r="O121" i="40"/>
  <c r="Q121" i="40"/>
  <c r="Q99" i="40"/>
  <c r="O99" i="40"/>
  <c r="Q5" i="40"/>
  <c r="O5" i="40"/>
  <c r="Q37" i="40"/>
  <c r="O37" i="40"/>
  <c r="Q62" i="40"/>
  <c r="O62" i="40"/>
  <c r="Q78" i="40"/>
  <c r="O78" i="40"/>
  <c r="Q125" i="40"/>
  <c r="O125" i="40"/>
  <c r="Q103" i="40"/>
  <c r="O103" i="40"/>
  <c r="N126" i="40"/>
  <c r="Q126" i="40" s="1"/>
  <c r="O126" i="40"/>
  <c r="N104" i="40"/>
  <c r="Q104" i="40" s="1"/>
  <c r="Q149" i="40"/>
  <c r="O149" i="40"/>
  <c r="N89" i="40"/>
  <c r="Q89" i="40" s="1"/>
  <c r="N7" i="40"/>
  <c r="Q7" i="40" s="1"/>
  <c r="N11" i="40"/>
  <c r="Q11" i="40" s="1"/>
  <c r="N15" i="40"/>
  <c r="Q15" i="40" s="1"/>
  <c r="N19" i="40"/>
  <c r="Q19" i="40" s="1"/>
  <c r="N23" i="40"/>
  <c r="Q23" i="40" s="1"/>
  <c r="N27" i="40"/>
  <c r="Q27" i="40" s="1"/>
  <c r="N31" i="40"/>
  <c r="Q31" i="40" s="1"/>
  <c r="N35" i="40"/>
  <c r="Q35" i="40" s="1"/>
  <c r="N39" i="40"/>
  <c r="Q39" i="40" s="1"/>
  <c r="N56" i="40"/>
  <c r="Q56" i="40" s="1"/>
  <c r="N60" i="40"/>
  <c r="Q60" i="40" s="1"/>
  <c r="N64" i="40"/>
  <c r="Q64" i="40" s="1"/>
  <c r="N68" i="40"/>
  <c r="Q68" i="40" s="1"/>
  <c r="N72" i="40"/>
  <c r="Q72" i="40" s="1"/>
  <c r="N76" i="40"/>
  <c r="Q76" i="40" s="1"/>
  <c r="N80" i="40"/>
  <c r="Q80" i="40" s="1"/>
  <c r="N86" i="40"/>
  <c r="Q86" i="40" s="1"/>
  <c r="N110" i="40"/>
  <c r="Q110" i="40" s="1"/>
  <c r="N115" i="40"/>
  <c r="Q115" i="40" s="1"/>
  <c r="N119" i="40"/>
  <c r="Q119" i="40" s="1"/>
  <c r="N142" i="40"/>
  <c r="Q142" i="40" s="1"/>
  <c r="N147" i="40"/>
  <c r="Q147" i="40" s="1"/>
  <c r="N98" i="40"/>
  <c r="Q98" i="40" s="1"/>
  <c r="N12" i="40"/>
  <c r="Q12" i="40" s="1"/>
  <c r="N32" i="40"/>
  <c r="Q32" i="40" s="1"/>
  <c r="N61" i="40"/>
  <c r="Q61" i="40" s="1"/>
  <c r="N69" i="40"/>
  <c r="Q69" i="40" s="1"/>
  <c r="N77" i="40"/>
  <c r="Q77" i="40" s="1"/>
  <c r="N112" i="40"/>
  <c r="Q112" i="40" s="1"/>
  <c r="N116" i="40"/>
  <c r="Q116" i="40" s="1"/>
  <c r="N120" i="40"/>
  <c r="Q120" i="40" s="1"/>
  <c r="N124" i="40"/>
  <c r="Q124" i="40" s="1"/>
  <c r="N143" i="40"/>
  <c r="Q143" i="40" s="1"/>
  <c r="N148" i="40"/>
  <c r="Q148" i="40" s="1"/>
  <c r="N94" i="40"/>
  <c r="Q94" i="40" s="1"/>
  <c r="O102" i="40"/>
  <c r="N24" i="40"/>
  <c r="Q24" i="40" s="1"/>
  <c r="N73" i="40"/>
  <c r="Q73" i="40" s="1"/>
  <c r="O8" i="40"/>
  <c r="O81" i="40"/>
  <c r="N16" i="40"/>
  <c r="Q16" i="40" s="1"/>
  <c r="N20" i="40"/>
  <c r="Q20" i="40" s="1"/>
  <c r="N28" i="40"/>
  <c r="Q28" i="40" s="1"/>
  <c r="N36" i="40"/>
  <c r="Q36" i="40" s="1"/>
  <c r="N40" i="40"/>
  <c r="Q40" i="40" s="1"/>
  <c r="N52" i="40"/>
  <c r="Q52" i="40" s="1"/>
  <c r="N57" i="40"/>
  <c r="Q57" i="40" s="1"/>
  <c r="N65" i="40"/>
  <c r="Q65" i="40" s="1"/>
  <c r="N96" i="40"/>
  <c r="Q96" i="40" s="1"/>
  <c r="N14" i="40"/>
  <c r="Q14" i="40" s="1"/>
  <c r="N26" i="40"/>
  <c r="Q26" i="40" s="1"/>
  <c r="N34" i="40"/>
  <c r="Q34" i="40" s="1"/>
  <c r="N38" i="40"/>
  <c r="Q38" i="40" s="1"/>
  <c r="N55" i="40"/>
  <c r="Q55" i="40" s="1"/>
  <c r="N59" i="40"/>
  <c r="Q59" i="40" s="1"/>
  <c r="N63" i="40"/>
  <c r="Q63" i="40" s="1"/>
  <c r="N67" i="40"/>
  <c r="Q67" i="40" s="1"/>
  <c r="N71" i="40"/>
  <c r="Q71" i="40" s="1"/>
  <c r="N75" i="40"/>
  <c r="Q75" i="40" s="1"/>
  <c r="N79" i="40"/>
  <c r="Q79" i="40" s="1"/>
  <c r="N114" i="40"/>
  <c r="Q114" i="40" s="1"/>
  <c r="N118" i="40"/>
  <c r="Q118" i="40" s="1"/>
  <c r="N122" i="40"/>
  <c r="Q122" i="40" s="1"/>
  <c r="N141" i="40"/>
  <c r="Q141" i="40" s="1"/>
  <c r="N146" i="40"/>
  <c r="Q146" i="40" s="1"/>
  <c r="N150" i="40"/>
  <c r="Q150" i="40" s="1"/>
  <c r="O92" i="40"/>
  <c r="N10" i="40"/>
  <c r="Q10" i="40" s="1"/>
  <c r="N22" i="40"/>
  <c r="Q22" i="40" s="1"/>
  <c r="O18" i="40"/>
  <c r="O30" i="40"/>
  <c r="N100" i="40"/>
  <c r="Q100" i="40" s="1"/>
  <c r="N6" i="40"/>
  <c r="Q6" i="40" s="1"/>
  <c r="O72" i="40" l="1"/>
  <c r="O105" i="40"/>
  <c r="N128" i="40"/>
  <c r="N106" i="40"/>
  <c r="Q106" i="40" s="1"/>
  <c r="N127" i="40"/>
  <c r="Q127" i="40" s="1"/>
  <c r="N47" i="40"/>
  <c r="Q47" i="40" s="1"/>
  <c r="N135" i="40"/>
  <c r="Q135" i="40" s="1"/>
  <c r="N131" i="40"/>
  <c r="Q131" i="40" s="1"/>
  <c r="N45" i="40"/>
  <c r="Q45" i="40" s="1"/>
  <c r="N44" i="40"/>
  <c r="Q44" i="40" s="1"/>
  <c r="O139" i="40"/>
  <c r="O76" i="40"/>
  <c r="N132" i="40"/>
  <c r="Q132" i="40" s="1"/>
  <c r="N88" i="40"/>
  <c r="Q88" i="40" s="1"/>
  <c r="O63" i="40"/>
  <c r="N85" i="40"/>
  <c r="O148" i="40"/>
  <c r="O122" i="40"/>
  <c r="O19" i="40"/>
  <c r="O15" i="40"/>
  <c r="N83" i="40"/>
  <c r="Q83" i="40" s="1"/>
  <c r="O110" i="40"/>
  <c r="O69" i="40"/>
  <c r="O14" i="40"/>
  <c r="O77" i="40"/>
  <c r="O94" i="40"/>
  <c r="O36" i="40"/>
  <c r="O28" i="40"/>
  <c r="O87" i="40"/>
  <c r="O114" i="40"/>
  <c r="O143" i="40"/>
  <c r="O80" i="40"/>
  <c r="O31" i="40"/>
  <c r="O86" i="40"/>
  <c r="O119" i="40"/>
  <c r="O138" i="40"/>
  <c r="O116" i="40"/>
  <c r="O65" i="40"/>
  <c r="O24" i="40"/>
  <c r="O52" i="40"/>
  <c r="O38" i="40"/>
  <c r="O75" i="40"/>
  <c r="O11" i="40"/>
  <c r="O109" i="40"/>
  <c r="O40" i="40"/>
  <c r="O134" i="40"/>
  <c r="O26" i="40"/>
  <c r="O20" i="40"/>
  <c r="O107" i="40"/>
  <c r="O61" i="40"/>
  <c r="O35" i="40"/>
  <c r="O73" i="40"/>
  <c r="O34" i="40"/>
  <c r="O104" i="40"/>
  <c r="O16" i="40"/>
  <c r="O79" i="40"/>
  <c r="O136" i="40"/>
  <c r="O147" i="40"/>
  <c r="O96" i="40"/>
  <c r="O22" i="40"/>
  <c r="O132" i="40"/>
  <c r="O130" i="40"/>
  <c r="O12" i="40"/>
  <c r="O6" i="40"/>
  <c r="O129" i="40"/>
  <c r="O108" i="40"/>
  <c r="O64" i="40"/>
  <c r="O67" i="40"/>
  <c r="O118" i="40"/>
  <c r="O43" i="40"/>
  <c r="O55" i="40"/>
  <c r="O150" i="40"/>
  <c r="O39" i="40"/>
  <c r="O42" i="40"/>
  <c r="O71" i="40"/>
  <c r="O27" i="40"/>
  <c r="O115" i="40"/>
  <c r="O59" i="40"/>
  <c r="O23" i="40"/>
  <c r="O146" i="40"/>
  <c r="O141" i="40"/>
  <c r="O100" i="40"/>
  <c r="O7" i="40"/>
  <c r="O57" i="40"/>
  <c r="O124" i="40"/>
  <c r="O120" i="40"/>
  <c r="O137" i="40"/>
  <c r="O60" i="40"/>
  <c r="O84" i="40"/>
  <c r="O112" i="40"/>
  <c r="O32" i="40"/>
  <c r="O10" i="40"/>
  <c r="O68" i="40"/>
  <c r="O142" i="40"/>
  <c r="O89" i="40"/>
  <c r="O56" i="40"/>
  <c r="O98" i="40"/>
  <c r="O106" i="40" l="1"/>
  <c r="Q85" i="40"/>
  <c r="O85" i="40"/>
  <c r="O127" i="40"/>
  <c r="O135" i="40"/>
  <c r="O88" i="40"/>
  <c r="O131" i="40"/>
  <c r="Q128" i="40"/>
  <c r="O128" i="40"/>
  <c r="O83" i="40"/>
  <c r="AS15" i="23" l="1"/>
  <c r="AR15" i="23"/>
  <c r="F132" i="23" s="1"/>
  <c r="AQ15" i="23"/>
  <c r="F131" i="23"/>
  <c r="O7" i="33"/>
  <c r="AR14" i="23"/>
  <c r="AS14" i="23"/>
  <c r="AQ14" i="23"/>
  <c r="J8" i="34"/>
  <c r="I8" i="34"/>
  <c r="H8" i="34"/>
  <c r="H5" i="34"/>
  <c r="I5" i="34"/>
  <c r="J5" i="34"/>
  <c r="F133" i="23" l="1"/>
  <c r="H9" i="34"/>
  <c r="J9" i="34"/>
  <c r="I9" i="34"/>
  <c r="G101" i="9" l="1"/>
  <c r="G102" i="9" s="1"/>
  <c r="G92" i="9"/>
  <c r="G82" i="9"/>
  <c r="F37" i="10"/>
  <c r="F5" i="27"/>
  <c r="F7" i="27"/>
  <c r="F6" i="27"/>
  <c r="F4" i="27"/>
  <c r="F3" i="27"/>
  <c r="Y139" i="40"/>
  <c r="X139" i="40"/>
  <c r="W139" i="40"/>
  <c r="Y138" i="40"/>
  <c r="X138" i="40"/>
  <c r="W138" i="40"/>
  <c r="Y137" i="40"/>
  <c r="X137" i="40"/>
  <c r="W137" i="40"/>
  <c r="Y136" i="40"/>
  <c r="X136" i="40"/>
  <c r="W136" i="40"/>
  <c r="Y135" i="40"/>
  <c r="X135" i="40"/>
  <c r="W135" i="40"/>
  <c r="Y134" i="40"/>
  <c r="X134" i="40"/>
  <c r="W134" i="40"/>
  <c r="W143" i="40"/>
  <c r="X143" i="40"/>
  <c r="Y143" i="40"/>
  <c r="Y144" i="40"/>
  <c r="X144" i="40"/>
  <c r="W144" i="40"/>
  <c r="Y153" i="40"/>
  <c r="M153" i="40"/>
  <c r="L153" i="40"/>
  <c r="X150" i="40"/>
  <c r="W150" i="40"/>
  <c r="X149" i="40"/>
  <c r="W149" i="40"/>
  <c r="X148" i="40"/>
  <c r="W148" i="40"/>
  <c r="X147" i="40"/>
  <c r="W147" i="40"/>
  <c r="X146" i="40"/>
  <c r="W146" i="40"/>
  <c r="W142" i="40"/>
  <c r="W141" i="40"/>
  <c r="W140" i="40"/>
  <c r="Y132" i="40"/>
  <c r="Y131" i="40"/>
  <c r="Y130" i="40"/>
  <c r="Y129" i="40"/>
  <c r="Y128" i="40"/>
  <c r="Y127" i="40"/>
  <c r="Y126" i="40"/>
  <c r="X110" i="40"/>
  <c r="X109" i="40"/>
  <c r="X108" i="40"/>
  <c r="X107" i="40"/>
  <c r="X106" i="40"/>
  <c r="X105" i="40"/>
  <c r="X104" i="40"/>
  <c r="X89" i="40"/>
  <c r="X88" i="40"/>
  <c r="X87" i="40"/>
  <c r="X86" i="40"/>
  <c r="X85" i="40"/>
  <c r="X84" i="40"/>
  <c r="X83" i="40"/>
  <c r="X53" i="40"/>
  <c r="X52" i="40"/>
  <c r="X51" i="40"/>
  <c r="X50" i="40"/>
  <c r="X49" i="40"/>
  <c r="W47" i="40"/>
  <c r="W46" i="40"/>
  <c r="W45" i="40"/>
  <c r="W44" i="40"/>
  <c r="W43" i="40"/>
  <c r="W42" i="40"/>
  <c r="Y125" i="40"/>
  <c r="Y124" i="40"/>
  <c r="Y116" i="40"/>
  <c r="X96" i="40"/>
  <c r="X94" i="40"/>
  <c r="X80" i="40"/>
  <c r="X72" i="40"/>
  <c r="X70" i="40"/>
  <c r="X64" i="40"/>
  <c r="X56" i="40"/>
  <c r="W41" i="40"/>
  <c r="W35" i="40"/>
  <c r="W25" i="40"/>
  <c r="W19" i="40"/>
  <c r="W11" i="40"/>
  <c r="W9" i="40"/>
  <c r="X7" i="33"/>
  <c r="Q7" i="33"/>
  <c r="N7" i="33"/>
  <c r="D7" i="33"/>
  <c r="K3" i="34"/>
  <c r="K5" i="34" s="1"/>
  <c r="K6" i="34"/>
  <c r="K8" i="34" s="1"/>
  <c r="G8" i="34"/>
  <c r="G5" i="34"/>
  <c r="J28" i="9"/>
  <c r="I28" i="9"/>
  <c r="H28" i="9"/>
  <c r="G28" i="9"/>
  <c r="G132" i="9"/>
  <c r="AE7" i="33" l="1"/>
  <c r="Y112" i="40"/>
  <c r="Y118" i="40"/>
  <c r="W29" i="40"/>
  <c r="X102" i="40"/>
  <c r="X58" i="40"/>
  <c r="X74" i="40"/>
  <c r="W13" i="40"/>
  <c r="W27" i="40"/>
  <c r="N153" i="40"/>
  <c r="Q153" i="40" s="1"/>
  <c r="Y120" i="40"/>
  <c r="W31" i="40"/>
  <c r="W14" i="40"/>
  <c r="X98" i="40"/>
  <c r="W30" i="40"/>
  <c r="X59" i="40"/>
  <c r="X60" i="40"/>
  <c r="W17" i="40"/>
  <c r="W15" i="40"/>
  <c r="Y119" i="40"/>
  <c r="X75" i="40"/>
  <c r="X76" i="40"/>
  <c r="X97" i="40"/>
  <c r="X92" i="40"/>
  <c r="Y114" i="40"/>
  <c r="W6" i="40"/>
  <c r="W12" i="40"/>
  <c r="W22" i="40"/>
  <c r="W28" i="40"/>
  <c r="W38" i="40"/>
  <c r="X57" i="40"/>
  <c r="X67" i="40"/>
  <c r="X73" i="40"/>
  <c r="X95" i="40"/>
  <c r="Y117" i="40"/>
  <c r="W16" i="40"/>
  <c r="W32" i="40"/>
  <c r="X61" i="40"/>
  <c r="X77" i="40"/>
  <c r="X99" i="40"/>
  <c r="Y121" i="40"/>
  <c r="W10" i="40"/>
  <c r="W26" i="40"/>
  <c r="X55" i="40"/>
  <c r="X71" i="40"/>
  <c r="X93" i="40"/>
  <c r="Y115" i="40"/>
  <c r="W7" i="40"/>
  <c r="W23" i="40"/>
  <c r="W39" i="40"/>
  <c r="X68" i="40"/>
  <c r="W20" i="40"/>
  <c r="W36" i="40"/>
  <c r="X65" i="40"/>
  <c r="X81" i="40"/>
  <c r="X103" i="40"/>
  <c r="W33" i="40"/>
  <c r="X62" i="40"/>
  <c r="X78" i="40"/>
  <c r="X100" i="40"/>
  <c r="Y122" i="40"/>
  <c r="W8" i="40"/>
  <c r="W24" i="40"/>
  <c r="W40" i="40"/>
  <c r="X69" i="40"/>
  <c r="X91" i="40"/>
  <c r="Y113" i="40"/>
  <c r="W5" i="40"/>
  <c r="W21" i="40"/>
  <c r="W37" i="40"/>
  <c r="X66" i="40"/>
  <c r="X82" i="40"/>
  <c r="W18" i="40"/>
  <c r="W34" i="40"/>
  <c r="X63" i="40"/>
  <c r="X79" i="40"/>
  <c r="X101" i="40"/>
  <c r="Y123" i="40"/>
  <c r="G9" i="34"/>
  <c r="K9" i="34"/>
  <c r="K15" i="34" s="1"/>
  <c r="Y151" i="40" l="1"/>
  <c r="O153" i="40"/>
  <c r="K19" i="34"/>
  <c r="C31" i="34" s="1"/>
  <c r="I6" i="24" l="1"/>
  <c r="AD5" i="23" l="1"/>
  <c r="K21" i="34" l="1"/>
  <c r="E6" i="24"/>
  <c r="F6" i="24"/>
  <c r="G6" i="24"/>
  <c r="H6" i="24"/>
  <c r="J6" i="24"/>
  <c r="K6" i="24"/>
  <c r="L6" i="24"/>
  <c r="M6" i="24"/>
  <c r="N6" i="24"/>
  <c r="O6" i="24"/>
  <c r="P6" i="24"/>
  <c r="Q6" i="24"/>
  <c r="R6" i="24"/>
  <c r="S6" i="24"/>
  <c r="T6" i="24"/>
  <c r="U6" i="24"/>
  <c r="V6" i="24"/>
  <c r="W6" i="24"/>
  <c r="X6" i="24"/>
  <c r="Y6" i="24"/>
  <c r="Z6" i="24"/>
  <c r="AA6" i="24"/>
  <c r="AB6" i="24"/>
  <c r="AC6" i="24"/>
  <c r="D6" i="24"/>
  <c r="AE6" i="24" l="1"/>
  <c r="K25" i="34" s="1"/>
  <c r="AF7" i="33"/>
  <c r="AP14" i="23" l="1"/>
  <c r="AG5" i="23"/>
  <c r="C46" i="1" s="1"/>
  <c r="AH5" i="23"/>
  <c r="G16" i="3" s="1"/>
  <c r="AI5" i="23"/>
  <c r="AI3" i="23" s="1"/>
  <c r="AO14" i="23"/>
  <c r="G103" i="9"/>
  <c r="G104" i="9" s="1"/>
  <c r="G105" i="9" s="1"/>
  <c r="G106" i="9" s="1"/>
  <c r="G107" i="9" s="1"/>
  <c r="G108" i="9" s="1"/>
  <c r="G93" i="9"/>
  <c r="G94" i="9" s="1"/>
  <c r="G95" i="9" s="1"/>
  <c r="G96" i="9" s="1"/>
  <c r="G97" i="9" s="1"/>
  <c r="G98" i="9" s="1"/>
  <c r="H27" i="9"/>
  <c r="G131" i="9"/>
  <c r="G26" i="9"/>
  <c r="G140" i="9"/>
  <c r="G141" i="9"/>
  <c r="G130" i="9"/>
  <c r="G27" i="9"/>
  <c r="H26" i="9"/>
  <c r="F38" i="10" l="1"/>
  <c r="F39" i="10" s="1"/>
  <c r="F40" i="10" s="1"/>
  <c r="F41" i="10" s="1"/>
  <c r="F42" i="10" s="1"/>
  <c r="F43" i="10" s="1"/>
  <c r="F44" i="10" s="1"/>
  <c r="K13" i="34"/>
  <c r="F14" i="14"/>
  <c r="G6" i="3"/>
  <c r="AG7" i="33"/>
  <c r="AH7" i="33" s="1"/>
  <c r="C3" i="27"/>
  <c r="E3" i="27" s="1"/>
  <c r="D3" i="27" s="1"/>
  <c r="C4" i="27"/>
  <c r="E4" i="27" s="1"/>
  <c r="D4" i="27" s="1"/>
  <c r="C5" i="27"/>
  <c r="E5" i="27" s="1"/>
  <c r="D5" i="27" s="1"/>
  <c r="C6" i="27"/>
  <c r="E6" i="27" s="1"/>
  <c r="D6" i="27" s="1"/>
  <c r="C7" i="27"/>
  <c r="E7" i="27" s="1"/>
  <c r="D7" i="27" s="1"/>
  <c r="I26" i="9"/>
  <c r="I27" i="9"/>
  <c r="J27" i="9"/>
  <c r="J26" i="9"/>
  <c r="AI7" i="33" l="1"/>
  <c r="AH6" i="24" s="1"/>
  <c r="AG6" i="24"/>
  <c r="H19" i="3" s="1"/>
  <c r="F49" i="14"/>
  <c r="F84" i="14"/>
  <c r="K20" i="34"/>
  <c r="AF6" i="24"/>
  <c r="H9" i="3" s="1"/>
  <c r="M151" i="40"/>
  <c r="BF58" i="19"/>
  <c r="BD58" i="19"/>
  <c r="Q9" i="3" l="1"/>
  <c r="N9" i="3"/>
  <c r="K9" i="3"/>
  <c r="Q19" i="3"/>
  <c r="N19" i="3"/>
  <c r="K19" i="3"/>
  <c r="K22" i="34"/>
  <c r="F16" i="14"/>
  <c r="F51" i="14" s="1"/>
  <c r="K14" i="34"/>
  <c r="W151" i="40"/>
  <c r="X151" i="40"/>
  <c r="N151" i="40"/>
  <c r="L151" i="40"/>
  <c r="K24" i="34" l="1"/>
  <c r="F86" i="14"/>
  <c r="Q151" i="40"/>
  <c r="AH450" i="33"/>
  <c r="AE54" i="24"/>
  <c r="K26" i="34" l="1"/>
  <c r="B54" i="24"/>
  <c r="B446" i="33"/>
  <c r="C42" i="24" l="1"/>
  <c r="C41" i="24"/>
  <c r="C36" i="24"/>
  <c r="C35" i="24"/>
  <c r="C29" i="24"/>
  <c r="C28" i="24"/>
  <c r="C20" i="24"/>
  <c r="C19" i="24"/>
  <c r="C12" i="24" l="1"/>
  <c r="C11" i="24"/>
  <c r="A9" i="24"/>
  <c r="A10" i="24" s="1"/>
  <c r="A11" i="24" l="1"/>
  <c r="C381" i="33"/>
  <c r="C393" i="33"/>
  <c r="C392" i="33"/>
  <c r="C391" i="33"/>
  <c r="C390" i="33"/>
  <c r="C389" i="33"/>
  <c r="C388" i="33"/>
  <c r="C387" i="33"/>
  <c r="C386" i="33"/>
  <c r="C385" i="33"/>
  <c r="C384" i="33"/>
  <c r="C383" i="33"/>
  <c r="C382" i="33"/>
  <c r="N380" i="33"/>
  <c r="N394" i="33" s="1"/>
  <c r="M380" i="33"/>
  <c r="N379" i="33"/>
  <c r="N393" i="33" s="1"/>
  <c r="M379" i="33"/>
  <c r="M393" i="33" s="1"/>
  <c r="N378" i="33"/>
  <c r="N392" i="33" s="1"/>
  <c r="M378" i="33"/>
  <c r="M392" i="33" s="1"/>
  <c r="N377" i="33"/>
  <c r="N391" i="33" s="1"/>
  <c r="M377" i="33"/>
  <c r="M391" i="33" s="1"/>
  <c r="N376" i="33"/>
  <c r="N390" i="33" s="1"/>
  <c r="M376" i="33"/>
  <c r="M390" i="33" s="1"/>
  <c r="N375" i="33"/>
  <c r="N389" i="33" s="1"/>
  <c r="M375" i="33"/>
  <c r="M389" i="33" s="1"/>
  <c r="N374" i="33"/>
  <c r="N388" i="33" s="1"/>
  <c r="M374" i="33"/>
  <c r="M388" i="33" s="1"/>
  <c r="N373" i="33"/>
  <c r="N387" i="33" s="1"/>
  <c r="M373" i="33"/>
  <c r="M387" i="33" s="1"/>
  <c r="N372" i="33"/>
  <c r="N386" i="33" s="1"/>
  <c r="M372" i="33"/>
  <c r="M386" i="33" s="1"/>
  <c r="N371" i="33"/>
  <c r="N385" i="33" s="1"/>
  <c r="M371" i="33"/>
  <c r="M385" i="33" s="1"/>
  <c r="N370" i="33"/>
  <c r="N384" i="33" s="1"/>
  <c r="M370" i="33"/>
  <c r="M384" i="33" s="1"/>
  <c r="N369" i="33"/>
  <c r="N383" i="33" s="1"/>
  <c r="M369" i="33"/>
  <c r="M383" i="33" s="1"/>
  <c r="N368" i="33"/>
  <c r="N382" i="33" s="1"/>
  <c r="M368" i="33"/>
  <c r="M382" i="33" s="1"/>
  <c r="E380" i="33"/>
  <c r="E394" i="33" s="1"/>
  <c r="E379" i="33"/>
  <c r="E393" i="33" s="1"/>
  <c r="E378" i="33"/>
  <c r="E392" i="33" s="1"/>
  <c r="E377" i="33"/>
  <c r="E391" i="33" s="1"/>
  <c r="E376" i="33"/>
  <c r="E390" i="33" s="1"/>
  <c r="E375" i="33"/>
  <c r="E389" i="33" s="1"/>
  <c r="E374" i="33"/>
  <c r="E388" i="33" s="1"/>
  <c r="E373" i="33"/>
  <c r="E387" i="33" s="1"/>
  <c r="E372" i="33"/>
  <c r="E386" i="33" s="1"/>
  <c r="E371" i="33"/>
  <c r="E385" i="33" s="1"/>
  <c r="E370" i="33"/>
  <c r="E384" i="33" s="1"/>
  <c r="E369" i="33"/>
  <c r="E383" i="33" s="1"/>
  <c r="E368" i="33"/>
  <c r="E382" i="33" s="1"/>
  <c r="D368" i="33"/>
  <c r="D382" i="33" s="1"/>
  <c r="D369" i="33"/>
  <c r="D383" i="33" s="1"/>
  <c r="D370" i="33"/>
  <c r="D384" i="33" s="1"/>
  <c r="D371" i="33"/>
  <c r="D385" i="33" s="1"/>
  <c r="D372" i="33"/>
  <c r="D386" i="33" s="1"/>
  <c r="D373" i="33"/>
  <c r="D387" i="33" s="1"/>
  <c r="D374" i="33"/>
  <c r="D388" i="33" s="1"/>
  <c r="D375" i="33"/>
  <c r="D389" i="33" s="1"/>
  <c r="D376" i="33"/>
  <c r="D390" i="33" s="1"/>
  <c r="D377" i="33"/>
  <c r="D391" i="33" s="1"/>
  <c r="D378" i="33"/>
  <c r="D392" i="33" s="1"/>
  <c r="D379" i="33"/>
  <c r="D393" i="33" s="1"/>
  <c r="D380" i="33"/>
  <c r="C367" i="33"/>
  <c r="C379" i="33"/>
  <c r="C378" i="33"/>
  <c r="C377" i="33"/>
  <c r="C376" i="33"/>
  <c r="C375" i="33"/>
  <c r="C374" i="33"/>
  <c r="C373" i="33"/>
  <c r="C372" i="33"/>
  <c r="C371" i="33"/>
  <c r="C370" i="33"/>
  <c r="C369" i="33"/>
  <c r="C368" i="33"/>
  <c r="C323" i="33"/>
  <c r="C335" i="33"/>
  <c r="C334" i="33"/>
  <c r="C333" i="33"/>
  <c r="C332" i="33"/>
  <c r="C331" i="33"/>
  <c r="C330" i="33"/>
  <c r="C329" i="33"/>
  <c r="C328" i="33"/>
  <c r="C327" i="33"/>
  <c r="C326" i="33"/>
  <c r="C325" i="33"/>
  <c r="C324" i="33"/>
  <c r="N322" i="33"/>
  <c r="N336" i="33" s="1"/>
  <c r="M322" i="33"/>
  <c r="M309" i="33" s="1"/>
  <c r="M35" i="24" s="1"/>
  <c r="N321" i="33"/>
  <c r="N335" i="33" s="1"/>
  <c r="M321" i="33"/>
  <c r="M335" i="33" s="1"/>
  <c r="N320" i="33"/>
  <c r="N334" i="33" s="1"/>
  <c r="M320" i="33"/>
  <c r="M334" i="33" s="1"/>
  <c r="N319" i="33"/>
  <c r="N333" i="33" s="1"/>
  <c r="M319" i="33"/>
  <c r="M333" i="33" s="1"/>
  <c r="N318" i="33"/>
  <c r="N332" i="33" s="1"/>
  <c r="M318" i="33"/>
  <c r="M332" i="33" s="1"/>
  <c r="N317" i="33"/>
  <c r="N331" i="33" s="1"/>
  <c r="M317" i="33"/>
  <c r="M331" i="33" s="1"/>
  <c r="N316" i="33"/>
  <c r="N330" i="33" s="1"/>
  <c r="M316" i="33"/>
  <c r="M330" i="33" s="1"/>
  <c r="N315" i="33"/>
  <c r="N329" i="33" s="1"/>
  <c r="M315" i="33"/>
  <c r="M329" i="33" s="1"/>
  <c r="N314" i="33"/>
  <c r="N328" i="33" s="1"/>
  <c r="M314" i="33"/>
  <c r="M328" i="33" s="1"/>
  <c r="N313" i="33"/>
  <c r="N327" i="33" s="1"/>
  <c r="M313" i="33"/>
  <c r="M327" i="33" s="1"/>
  <c r="N312" i="33"/>
  <c r="N326" i="33" s="1"/>
  <c r="M312" i="33"/>
  <c r="M326" i="33" s="1"/>
  <c r="N311" i="33"/>
  <c r="N325" i="33" s="1"/>
  <c r="M311" i="33"/>
  <c r="M325" i="33" s="1"/>
  <c r="N310" i="33"/>
  <c r="N324" i="33" s="1"/>
  <c r="M310" i="33"/>
  <c r="M324" i="33" s="1"/>
  <c r="F322" i="33"/>
  <c r="F336" i="33" s="1"/>
  <c r="E322" i="33"/>
  <c r="E336" i="33" s="1"/>
  <c r="F321" i="33"/>
  <c r="F335" i="33" s="1"/>
  <c r="E321" i="33"/>
  <c r="E335" i="33" s="1"/>
  <c r="F320" i="33"/>
  <c r="F334" i="33" s="1"/>
  <c r="E320" i="33"/>
  <c r="E334" i="33" s="1"/>
  <c r="F319" i="33"/>
  <c r="F333" i="33" s="1"/>
  <c r="E319" i="33"/>
  <c r="E333" i="33" s="1"/>
  <c r="F318" i="33"/>
  <c r="F332" i="33" s="1"/>
  <c r="E318" i="33"/>
  <c r="E332" i="33" s="1"/>
  <c r="F317" i="33"/>
  <c r="F331" i="33" s="1"/>
  <c r="E317" i="33"/>
  <c r="E331" i="33" s="1"/>
  <c r="F316" i="33"/>
  <c r="F330" i="33" s="1"/>
  <c r="E316" i="33"/>
  <c r="E330" i="33" s="1"/>
  <c r="F315" i="33"/>
  <c r="F329" i="33" s="1"/>
  <c r="E315" i="33"/>
  <c r="E329" i="33" s="1"/>
  <c r="F314" i="33"/>
  <c r="F328" i="33" s="1"/>
  <c r="E314" i="33"/>
  <c r="E328" i="33" s="1"/>
  <c r="F313" i="33"/>
  <c r="F327" i="33" s="1"/>
  <c r="E313" i="33"/>
  <c r="E327" i="33" s="1"/>
  <c r="F312" i="33"/>
  <c r="F326" i="33" s="1"/>
  <c r="E312" i="33"/>
  <c r="E326" i="33" s="1"/>
  <c r="F311" i="33"/>
  <c r="F325" i="33" s="1"/>
  <c r="E311" i="33"/>
  <c r="E325" i="33" s="1"/>
  <c r="F310" i="33"/>
  <c r="F324" i="33" s="1"/>
  <c r="E310" i="33"/>
  <c r="E324" i="33" s="1"/>
  <c r="D310" i="33"/>
  <c r="D324" i="33" s="1"/>
  <c r="D311" i="33"/>
  <c r="D325" i="33" s="1"/>
  <c r="D312" i="33"/>
  <c r="D326" i="33" s="1"/>
  <c r="D313" i="33"/>
  <c r="D327" i="33" s="1"/>
  <c r="D314" i="33"/>
  <c r="D328" i="33" s="1"/>
  <c r="D315" i="33"/>
  <c r="D329" i="33" s="1"/>
  <c r="D316" i="33"/>
  <c r="D330" i="33" s="1"/>
  <c r="D317" i="33"/>
  <c r="D331" i="33" s="1"/>
  <c r="D318" i="33"/>
  <c r="D332" i="33" s="1"/>
  <c r="D319" i="33"/>
  <c r="D333" i="33" s="1"/>
  <c r="D320" i="33"/>
  <c r="D334" i="33" s="1"/>
  <c r="D321" i="33"/>
  <c r="D335" i="33" s="1"/>
  <c r="D322" i="33"/>
  <c r="D336" i="33" s="1"/>
  <c r="C309" i="33"/>
  <c r="C321" i="33"/>
  <c r="C320" i="33"/>
  <c r="C319" i="33"/>
  <c r="C318" i="33"/>
  <c r="C317" i="33"/>
  <c r="C316" i="33"/>
  <c r="C315" i="33"/>
  <c r="C314" i="33"/>
  <c r="C313" i="33"/>
  <c r="C312" i="33"/>
  <c r="C311" i="33"/>
  <c r="C310" i="33"/>
  <c r="C251" i="33"/>
  <c r="C263" i="33"/>
  <c r="C262" i="33"/>
  <c r="C261" i="33"/>
  <c r="C260" i="33"/>
  <c r="C259" i="33"/>
  <c r="C258" i="33"/>
  <c r="C257" i="33"/>
  <c r="C256" i="33"/>
  <c r="C255" i="33"/>
  <c r="C254" i="33"/>
  <c r="C253" i="33"/>
  <c r="C252" i="33"/>
  <c r="C237" i="33"/>
  <c r="C249" i="33"/>
  <c r="C248" i="33"/>
  <c r="C247" i="33"/>
  <c r="C246" i="33"/>
  <c r="C245" i="33"/>
  <c r="C244" i="33"/>
  <c r="C243" i="33"/>
  <c r="C242" i="33"/>
  <c r="C241" i="33"/>
  <c r="C240" i="33"/>
  <c r="C239" i="33"/>
  <c r="C238" i="33"/>
  <c r="C151" i="33"/>
  <c r="C163" i="33"/>
  <c r="C162" i="33"/>
  <c r="C161" i="33"/>
  <c r="C160" i="33"/>
  <c r="C159" i="33"/>
  <c r="C158" i="33"/>
  <c r="C157" i="33"/>
  <c r="C156" i="33"/>
  <c r="C155" i="33"/>
  <c r="C154" i="33"/>
  <c r="C153" i="33"/>
  <c r="C152" i="33"/>
  <c r="C137" i="33"/>
  <c r="C149" i="33"/>
  <c r="C148" i="33"/>
  <c r="C147" i="33"/>
  <c r="C146" i="33"/>
  <c r="C145" i="33"/>
  <c r="C144" i="33"/>
  <c r="C143" i="33"/>
  <c r="C142" i="33"/>
  <c r="C141" i="33"/>
  <c r="C140" i="33"/>
  <c r="C139" i="33"/>
  <c r="C138" i="33"/>
  <c r="N78" i="33"/>
  <c r="N77" i="33"/>
  <c r="N76" i="33"/>
  <c r="N75" i="33"/>
  <c r="N74" i="33"/>
  <c r="N73" i="33"/>
  <c r="N72" i="33"/>
  <c r="N71" i="33"/>
  <c r="N70" i="33"/>
  <c r="N69" i="33"/>
  <c r="N68" i="33"/>
  <c r="N67" i="33"/>
  <c r="N66" i="33"/>
  <c r="F78" i="33"/>
  <c r="E78" i="33"/>
  <c r="D78" i="33"/>
  <c r="F77" i="33"/>
  <c r="E77" i="33"/>
  <c r="D77" i="33"/>
  <c r="F76" i="33"/>
  <c r="E76" i="33"/>
  <c r="D76" i="33"/>
  <c r="F75" i="33"/>
  <c r="E75" i="33"/>
  <c r="D75" i="33"/>
  <c r="F74" i="33"/>
  <c r="E74" i="33"/>
  <c r="D74" i="33"/>
  <c r="F73" i="33"/>
  <c r="E73" i="33"/>
  <c r="D73" i="33"/>
  <c r="F72" i="33"/>
  <c r="E72" i="33"/>
  <c r="D72" i="33"/>
  <c r="F71" i="33"/>
  <c r="E71" i="33"/>
  <c r="D71" i="33"/>
  <c r="F70" i="33"/>
  <c r="E70" i="33"/>
  <c r="D70" i="33"/>
  <c r="F69" i="33"/>
  <c r="E69" i="33"/>
  <c r="D69" i="33"/>
  <c r="F68" i="33"/>
  <c r="E68" i="33"/>
  <c r="D68" i="33"/>
  <c r="F67" i="33"/>
  <c r="E67" i="33"/>
  <c r="D67" i="33"/>
  <c r="F66" i="33"/>
  <c r="E66" i="33"/>
  <c r="D66" i="33"/>
  <c r="C65" i="33"/>
  <c r="C77" i="33"/>
  <c r="C76" i="33"/>
  <c r="C75" i="33"/>
  <c r="C74" i="33"/>
  <c r="C73" i="33"/>
  <c r="C72" i="33"/>
  <c r="C71" i="33"/>
  <c r="C70" i="33"/>
  <c r="C69" i="33"/>
  <c r="C68" i="33"/>
  <c r="C67" i="33"/>
  <c r="C66" i="33"/>
  <c r="R64" i="33"/>
  <c r="R63" i="33"/>
  <c r="R62" i="33"/>
  <c r="R61" i="33"/>
  <c r="R60" i="33"/>
  <c r="R59" i="33"/>
  <c r="R58" i="33"/>
  <c r="R57" i="33"/>
  <c r="R56" i="33"/>
  <c r="R55" i="33"/>
  <c r="R54" i="33"/>
  <c r="R53" i="33"/>
  <c r="R52" i="33"/>
  <c r="F64" i="33"/>
  <c r="E64" i="33"/>
  <c r="F63" i="33"/>
  <c r="E63" i="33"/>
  <c r="F62" i="33"/>
  <c r="E62" i="33"/>
  <c r="F61" i="33"/>
  <c r="E61" i="33"/>
  <c r="F60" i="33"/>
  <c r="E60" i="33"/>
  <c r="F59" i="33"/>
  <c r="E59" i="33"/>
  <c r="F58" i="33"/>
  <c r="E58" i="33"/>
  <c r="F57" i="33"/>
  <c r="E57" i="33"/>
  <c r="F56" i="33"/>
  <c r="E56" i="33"/>
  <c r="F55" i="33"/>
  <c r="E55" i="33"/>
  <c r="F54" i="33"/>
  <c r="E54" i="33"/>
  <c r="F53" i="33"/>
  <c r="E53" i="33"/>
  <c r="F52" i="33"/>
  <c r="E52" i="33"/>
  <c r="M394" i="33" l="1"/>
  <c r="D394" i="33"/>
  <c r="A12" i="24"/>
  <c r="A13" i="24" s="1"/>
  <c r="A16" i="24" s="1"/>
  <c r="A17" i="24" s="1"/>
  <c r="A18" i="24" s="1"/>
  <c r="M336" i="33"/>
  <c r="M323" i="33" s="1"/>
  <c r="M36" i="24" s="1"/>
  <c r="AE107" i="23"/>
  <c r="AE103" i="23" s="1"/>
  <c r="AG106" i="23"/>
  <c r="Z105" i="23" s="1"/>
  <c r="Z106" i="23" s="1"/>
  <c r="X106" i="23"/>
  <c r="V106" i="23"/>
  <c r="Q106" i="23"/>
  <c r="P106" i="23"/>
  <c r="G106" i="23"/>
  <c r="F106" i="23"/>
  <c r="E106" i="23"/>
  <c r="D106" i="23"/>
  <c r="AD104" i="23"/>
  <c r="AH103" i="23"/>
  <c r="AF103" i="23"/>
  <c r="AE102" i="23"/>
  <c r="AE86" i="23" s="1"/>
  <c r="X101" i="23"/>
  <c r="V101" i="23"/>
  <c r="Q101" i="23"/>
  <c r="P101" i="23"/>
  <c r="M101" i="23"/>
  <c r="L101" i="23"/>
  <c r="G101" i="23"/>
  <c r="F101" i="23"/>
  <c r="E101" i="23"/>
  <c r="D101" i="23"/>
  <c r="AD99" i="23"/>
  <c r="AG98" i="23"/>
  <c r="X98" i="23"/>
  <c r="V98" i="23"/>
  <c r="Q98" i="23"/>
  <c r="P98" i="23"/>
  <c r="M98" i="23"/>
  <c r="L98" i="23"/>
  <c r="G98" i="23"/>
  <c r="F98" i="23"/>
  <c r="E98" i="23"/>
  <c r="D98" i="23"/>
  <c r="AD96" i="23"/>
  <c r="X95" i="23"/>
  <c r="V95" i="23"/>
  <c r="Q95" i="23"/>
  <c r="P95" i="23"/>
  <c r="M95" i="23"/>
  <c r="L95" i="23"/>
  <c r="G95" i="23"/>
  <c r="F95" i="23"/>
  <c r="E95" i="23"/>
  <c r="E381" i="33" s="1"/>
  <c r="E42" i="24" s="1"/>
  <c r="D95" i="23"/>
  <c r="AD93" i="23"/>
  <c r="AG92" i="23"/>
  <c r="W94" i="23" s="1"/>
  <c r="W95" i="23" s="1"/>
  <c r="X92" i="23"/>
  <c r="V92" i="23"/>
  <c r="Q92" i="23"/>
  <c r="P92" i="23"/>
  <c r="M92" i="23"/>
  <c r="M367" i="33" s="1"/>
  <c r="M41" i="24" s="1"/>
  <c r="L92" i="23"/>
  <c r="G92" i="23"/>
  <c r="F92" i="23"/>
  <c r="E92" i="23"/>
  <c r="E367" i="33" s="1"/>
  <c r="E41" i="24" s="1"/>
  <c r="D92" i="23"/>
  <c r="D367" i="33" s="1"/>
  <c r="D41" i="24" s="1"/>
  <c r="Z91" i="23"/>
  <c r="AD90" i="23"/>
  <c r="AG89" i="23"/>
  <c r="Z88" i="23" s="1"/>
  <c r="Z89" i="23" s="1"/>
  <c r="X89" i="23"/>
  <c r="V89" i="23"/>
  <c r="Q89" i="23"/>
  <c r="P89" i="23"/>
  <c r="M89" i="23"/>
  <c r="L89" i="23"/>
  <c r="G89" i="23"/>
  <c r="F89" i="23"/>
  <c r="E89" i="23"/>
  <c r="D89" i="23"/>
  <c r="AD87" i="23"/>
  <c r="AJ86" i="23"/>
  <c r="AH86" i="23"/>
  <c r="AF86" i="23"/>
  <c r="AE85" i="23"/>
  <c r="X84" i="23"/>
  <c r="V84" i="23"/>
  <c r="Q84" i="23"/>
  <c r="P84" i="23"/>
  <c r="N84" i="23"/>
  <c r="L84" i="23"/>
  <c r="G84" i="23"/>
  <c r="F84" i="23"/>
  <c r="E84" i="23"/>
  <c r="D84" i="23"/>
  <c r="AD82" i="23"/>
  <c r="AG81" i="23"/>
  <c r="R80" i="23" s="1"/>
  <c r="X81" i="23"/>
  <c r="V81" i="23"/>
  <c r="Q81" i="23"/>
  <c r="P81" i="23"/>
  <c r="N81" i="23"/>
  <c r="N323" i="33" s="1"/>
  <c r="N36" i="24" s="1"/>
  <c r="L81" i="23"/>
  <c r="G81" i="23"/>
  <c r="F81" i="23"/>
  <c r="F323" i="33" s="1"/>
  <c r="F36" i="24" s="1"/>
  <c r="E81" i="23"/>
  <c r="E323" i="33" s="1"/>
  <c r="E36" i="24" s="1"/>
  <c r="D81" i="23"/>
  <c r="D323" i="33" s="1"/>
  <c r="D36" i="24" s="1"/>
  <c r="AD79" i="23"/>
  <c r="X78" i="23"/>
  <c r="V78" i="23"/>
  <c r="Q78" i="23"/>
  <c r="P78" i="23"/>
  <c r="N78" i="23"/>
  <c r="N309" i="33" s="1"/>
  <c r="N35" i="24" s="1"/>
  <c r="L78" i="23"/>
  <c r="G78" i="23"/>
  <c r="F78" i="23"/>
  <c r="F309" i="33" s="1"/>
  <c r="F35" i="24" s="1"/>
  <c r="E78" i="23"/>
  <c r="E309" i="33" s="1"/>
  <c r="E35" i="24" s="1"/>
  <c r="D78" i="23"/>
  <c r="D309" i="33" s="1"/>
  <c r="D35" i="24" s="1"/>
  <c r="AD76" i="23"/>
  <c r="AG75" i="23"/>
  <c r="R74" i="23" s="1"/>
  <c r="X75" i="23"/>
  <c r="V75" i="23"/>
  <c r="Q75" i="23"/>
  <c r="P75" i="23"/>
  <c r="N75" i="23"/>
  <c r="L75" i="23"/>
  <c r="G75" i="23"/>
  <c r="F75" i="23"/>
  <c r="E75" i="23"/>
  <c r="D75" i="23"/>
  <c r="AD73" i="23"/>
  <c r="AH72" i="23"/>
  <c r="AF72" i="23"/>
  <c r="AE71" i="23"/>
  <c r="AG71" i="23" s="1"/>
  <c r="AF70" i="23"/>
  <c r="AG70" i="23" s="1"/>
  <c r="X70" i="23"/>
  <c r="V70" i="23"/>
  <c r="Q70" i="23"/>
  <c r="P70" i="23"/>
  <c r="N70" i="23"/>
  <c r="M70" i="23"/>
  <c r="L70" i="23"/>
  <c r="G70" i="23"/>
  <c r="F70" i="23"/>
  <c r="E70" i="23"/>
  <c r="D70" i="23"/>
  <c r="AD68" i="23"/>
  <c r="X67" i="23"/>
  <c r="V67" i="23"/>
  <c r="Q67" i="23"/>
  <c r="P67" i="23"/>
  <c r="N67" i="23"/>
  <c r="M67" i="23"/>
  <c r="L67" i="23"/>
  <c r="G67" i="23"/>
  <c r="F67" i="23"/>
  <c r="E67" i="23"/>
  <c r="D67" i="23"/>
  <c r="AD65" i="23"/>
  <c r="AF64" i="23"/>
  <c r="X64" i="23"/>
  <c r="V64" i="23"/>
  <c r="Q64" i="23"/>
  <c r="P64" i="23"/>
  <c r="N64" i="23"/>
  <c r="M64" i="23"/>
  <c r="L64" i="23"/>
  <c r="G64" i="23"/>
  <c r="F64" i="23"/>
  <c r="F251" i="33" s="1"/>
  <c r="F29" i="24" s="1"/>
  <c r="E64" i="23"/>
  <c r="E251" i="33" s="1"/>
  <c r="E29" i="24" s="1"/>
  <c r="D64" i="23"/>
  <c r="D251" i="33" s="1"/>
  <c r="D29" i="24" s="1"/>
  <c r="AD62" i="23"/>
  <c r="AF61" i="23"/>
  <c r="AG61" i="23" s="1"/>
  <c r="C2" i="35" s="1"/>
  <c r="X61" i="23"/>
  <c r="V61" i="23"/>
  <c r="Q61" i="23"/>
  <c r="P61" i="23"/>
  <c r="N61" i="23"/>
  <c r="M61" i="23"/>
  <c r="L61" i="23"/>
  <c r="G61" i="23"/>
  <c r="F61" i="23"/>
  <c r="F237" i="33" s="1"/>
  <c r="F28" i="24" s="1"/>
  <c r="E61" i="23"/>
  <c r="E237" i="33" s="1"/>
  <c r="E28" i="24" s="1"/>
  <c r="D61" i="23"/>
  <c r="D237" i="33" s="1"/>
  <c r="D28" i="24" s="1"/>
  <c r="AD59" i="23"/>
  <c r="AF58" i="23"/>
  <c r="AG58" i="23" s="1"/>
  <c r="X58" i="23"/>
  <c r="V58" i="23"/>
  <c r="Q58" i="23"/>
  <c r="P58" i="23"/>
  <c r="N58" i="23"/>
  <c r="M58" i="23"/>
  <c r="L58" i="23"/>
  <c r="G58" i="23"/>
  <c r="F58" i="23"/>
  <c r="E58" i="23"/>
  <c r="D58" i="23"/>
  <c r="AD56" i="23"/>
  <c r="X55" i="23"/>
  <c r="V55" i="23"/>
  <c r="Q55" i="23"/>
  <c r="P55" i="23"/>
  <c r="N55" i="23"/>
  <c r="M55" i="23"/>
  <c r="L55" i="23"/>
  <c r="G55" i="23"/>
  <c r="F55" i="23"/>
  <c r="E55" i="23"/>
  <c r="D55" i="23"/>
  <c r="AD53" i="23"/>
  <c r="AF52" i="23"/>
  <c r="X52" i="23"/>
  <c r="V52" i="23"/>
  <c r="Q52" i="23"/>
  <c r="P52" i="23"/>
  <c r="N52" i="23"/>
  <c r="M52" i="23"/>
  <c r="L52" i="23"/>
  <c r="G52" i="23"/>
  <c r="F52" i="23"/>
  <c r="E52" i="23"/>
  <c r="D52" i="23"/>
  <c r="AD50" i="23"/>
  <c r="AE49" i="23"/>
  <c r="AE48" i="23"/>
  <c r="AG48" i="23" s="1"/>
  <c r="AG47" i="23"/>
  <c r="W46" i="23" s="1"/>
  <c r="W47" i="23" s="1"/>
  <c r="X47" i="23"/>
  <c r="V47" i="23"/>
  <c r="Q47" i="23"/>
  <c r="P47" i="23"/>
  <c r="N47" i="23"/>
  <c r="M47" i="23"/>
  <c r="L47" i="23"/>
  <c r="G47" i="23"/>
  <c r="F47" i="23"/>
  <c r="E47" i="23"/>
  <c r="D47" i="23"/>
  <c r="AD45" i="23"/>
  <c r="X44" i="23"/>
  <c r="V44" i="23"/>
  <c r="Q44" i="23"/>
  <c r="P44" i="23"/>
  <c r="N44" i="23"/>
  <c r="M44" i="23"/>
  <c r="L44" i="23"/>
  <c r="G44" i="23"/>
  <c r="F44" i="23"/>
  <c r="E44" i="23"/>
  <c r="D44" i="23"/>
  <c r="AD42" i="23"/>
  <c r="AG41" i="23"/>
  <c r="R43" i="23" s="1"/>
  <c r="X41" i="23"/>
  <c r="V41" i="23"/>
  <c r="Q41" i="23"/>
  <c r="P41" i="23"/>
  <c r="N41" i="23"/>
  <c r="M41" i="23"/>
  <c r="L41" i="23"/>
  <c r="G41" i="23"/>
  <c r="F41" i="23"/>
  <c r="F151" i="33" s="1"/>
  <c r="F20" i="24" s="1"/>
  <c r="E41" i="23"/>
  <c r="E151" i="33" s="1"/>
  <c r="E20" i="24" s="1"/>
  <c r="D41" i="23"/>
  <c r="D151" i="33" s="1"/>
  <c r="D20" i="24" s="1"/>
  <c r="R40" i="23"/>
  <c r="AD39" i="23"/>
  <c r="AG38" i="23"/>
  <c r="C9" i="35" s="1"/>
  <c r="X38" i="23"/>
  <c r="V38" i="23"/>
  <c r="Q38" i="23"/>
  <c r="P38" i="23"/>
  <c r="N38" i="23"/>
  <c r="M38" i="23"/>
  <c r="L38" i="23"/>
  <c r="G38" i="23"/>
  <c r="F38" i="23"/>
  <c r="F137" i="33" s="1"/>
  <c r="F19" i="24" s="1"/>
  <c r="E38" i="23"/>
  <c r="E137" i="33" s="1"/>
  <c r="E19" i="24" s="1"/>
  <c r="D38" i="23"/>
  <c r="D137" i="33" s="1"/>
  <c r="D19" i="24" s="1"/>
  <c r="AD36" i="23"/>
  <c r="X35" i="23"/>
  <c r="V35" i="23"/>
  <c r="Q35" i="23"/>
  <c r="P35" i="23"/>
  <c r="N35" i="23"/>
  <c r="M35" i="23"/>
  <c r="L35" i="23"/>
  <c r="G35" i="23"/>
  <c r="F35" i="23"/>
  <c r="E35" i="23"/>
  <c r="D35" i="23"/>
  <c r="AD33" i="23"/>
  <c r="AG32" i="23"/>
  <c r="X32" i="23"/>
  <c r="V32" i="23"/>
  <c r="Q32" i="23"/>
  <c r="P32" i="23"/>
  <c r="N32" i="23"/>
  <c r="M32" i="23"/>
  <c r="L32" i="23"/>
  <c r="G32" i="23"/>
  <c r="F32" i="23"/>
  <c r="E32" i="23"/>
  <c r="D32" i="23"/>
  <c r="AD30" i="23"/>
  <c r="AG29" i="23"/>
  <c r="X29" i="23"/>
  <c r="V29" i="23"/>
  <c r="Q29" i="23"/>
  <c r="P29" i="23"/>
  <c r="N29" i="23"/>
  <c r="M29" i="23"/>
  <c r="L29" i="23"/>
  <c r="G29" i="23"/>
  <c r="F29" i="23"/>
  <c r="E29" i="23"/>
  <c r="D29" i="23"/>
  <c r="AD27" i="23"/>
  <c r="AF26" i="23"/>
  <c r="AE25" i="23"/>
  <c r="AG25" i="23" s="1"/>
  <c r="AG24" i="23"/>
  <c r="X24" i="23"/>
  <c r="V24" i="23"/>
  <c r="Q24" i="23"/>
  <c r="P24" i="23"/>
  <c r="N24" i="23"/>
  <c r="G24" i="23"/>
  <c r="F24" i="23"/>
  <c r="E24" i="23"/>
  <c r="D24" i="23"/>
  <c r="AD22" i="23"/>
  <c r="AG21" i="23"/>
  <c r="C26" i="35" s="1"/>
  <c r="X21" i="23"/>
  <c r="V21" i="23"/>
  <c r="Q21" i="23"/>
  <c r="P21" i="23"/>
  <c r="N21" i="23"/>
  <c r="N65" i="33" s="1"/>
  <c r="N12" i="24" s="1"/>
  <c r="G21" i="23"/>
  <c r="F21" i="23"/>
  <c r="F65" i="33" s="1"/>
  <c r="F12" i="24" s="1"/>
  <c r="E21" i="23"/>
  <c r="E65" i="33" s="1"/>
  <c r="E12" i="24" s="1"/>
  <c r="D21" i="23"/>
  <c r="D65" i="33" s="1"/>
  <c r="D12" i="24" s="1"/>
  <c r="AD19" i="23"/>
  <c r="X18" i="23"/>
  <c r="V18" i="23"/>
  <c r="Q18" i="23"/>
  <c r="P18" i="23"/>
  <c r="N18" i="23"/>
  <c r="G18" i="23"/>
  <c r="F18" i="23"/>
  <c r="F51" i="33" s="1"/>
  <c r="F11" i="24" s="1"/>
  <c r="E18" i="23"/>
  <c r="E51" i="33" s="1"/>
  <c r="E11" i="24" s="1"/>
  <c r="D18" i="23"/>
  <c r="AD16" i="23"/>
  <c r="AG15" i="23"/>
  <c r="R17" i="23" s="1"/>
  <c r="R18" i="23" s="1"/>
  <c r="R51" i="33" s="1"/>
  <c r="R11" i="24" s="1"/>
  <c r="X15" i="23"/>
  <c r="V15" i="23"/>
  <c r="Q15" i="23"/>
  <c r="P15" i="23"/>
  <c r="N15" i="23"/>
  <c r="G15" i="23"/>
  <c r="F15" i="23"/>
  <c r="E15" i="23"/>
  <c r="D15" i="23"/>
  <c r="AD13" i="23"/>
  <c r="AF12" i="23"/>
  <c r="X12" i="23"/>
  <c r="V12" i="23"/>
  <c r="Q12" i="23"/>
  <c r="P12" i="23"/>
  <c r="N12" i="23"/>
  <c r="G12" i="23"/>
  <c r="F12" i="23"/>
  <c r="E12" i="23"/>
  <c r="D12" i="23"/>
  <c r="D23" i="33" s="1"/>
  <c r="AD10" i="23"/>
  <c r="AF9" i="23"/>
  <c r="AG9" i="23" s="1"/>
  <c r="X9" i="23"/>
  <c r="V9" i="23"/>
  <c r="Q9" i="23"/>
  <c r="P9" i="23"/>
  <c r="N9" i="23"/>
  <c r="G9" i="23"/>
  <c r="F9" i="23"/>
  <c r="E9" i="23"/>
  <c r="D9" i="23"/>
  <c r="D9" i="33" s="1"/>
  <c r="AD7" i="23"/>
  <c r="AE26" i="23" l="1"/>
  <c r="Z46" i="23"/>
  <c r="Z47" i="23" s="1"/>
  <c r="R20" i="23"/>
  <c r="R21" i="23" s="1"/>
  <c r="W20" i="23"/>
  <c r="W21" i="23" s="1"/>
  <c r="AE6" i="23"/>
  <c r="AH29" i="23"/>
  <c r="R28" i="23" s="1"/>
  <c r="AG102" i="23"/>
  <c r="AG86" i="23" s="1"/>
  <c r="Q86" i="23" s="1"/>
  <c r="W105" i="23"/>
  <c r="Y105" i="23" s="1"/>
  <c r="Y106" i="23" s="1"/>
  <c r="R14" i="23"/>
  <c r="T14" i="23" s="1"/>
  <c r="T15" i="23" s="1"/>
  <c r="R75" i="23"/>
  <c r="R77" i="23"/>
  <c r="R78" i="23" s="1"/>
  <c r="W43" i="23"/>
  <c r="Z14" i="23"/>
  <c r="AH48" i="23"/>
  <c r="AF6" i="23"/>
  <c r="C14" i="35"/>
  <c r="C19" i="35"/>
  <c r="C11" i="35"/>
  <c r="C12" i="35"/>
  <c r="C28" i="35"/>
  <c r="C25" i="35"/>
  <c r="Z17" i="23"/>
  <c r="AH32" i="23"/>
  <c r="R34" i="23" s="1"/>
  <c r="T34" i="23" s="1"/>
  <c r="T35" i="23" s="1"/>
  <c r="W80" i="23"/>
  <c r="C22" i="35"/>
  <c r="C17" i="35"/>
  <c r="R97" i="23"/>
  <c r="Z97" i="23"/>
  <c r="W106" i="23"/>
  <c r="M381" i="33"/>
  <c r="M42" i="24" s="1"/>
  <c r="AG12" i="23"/>
  <c r="AH12" i="23" s="1"/>
  <c r="W40" i="23"/>
  <c r="C4" i="35"/>
  <c r="C3" i="35"/>
  <c r="Z43" i="23"/>
  <c r="Z44" i="23" s="1"/>
  <c r="AF49" i="23"/>
  <c r="AH71" i="23" s="1"/>
  <c r="S74" i="23"/>
  <c r="U74" i="23" s="1"/>
  <c r="C8" i="35"/>
  <c r="C7" i="35"/>
  <c r="Y94" i="23"/>
  <c r="Y95" i="23" s="1"/>
  <c r="R100" i="23"/>
  <c r="S100" i="23" s="1"/>
  <c r="S20" i="23"/>
  <c r="R46" i="23"/>
  <c r="AH52" i="23"/>
  <c r="T74" i="23"/>
  <c r="T77" i="23" s="1"/>
  <c r="T78" i="23" s="1"/>
  <c r="C10" i="35"/>
  <c r="C13" i="35"/>
  <c r="Z94" i="23"/>
  <c r="Z100" i="23"/>
  <c r="D381" i="33"/>
  <c r="D42" i="24" s="1"/>
  <c r="A19" i="24"/>
  <c r="Z37" i="23"/>
  <c r="W37" i="23"/>
  <c r="AG85" i="23"/>
  <c r="AG72" i="23" s="1"/>
  <c r="X72" i="23" s="1"/>
  <c r="AE72" i="23"/>
  <c r="R23" i="23"/>
  <c r="R41" i="23"/>
  <c r="S40" i="23"/>
  <c r="T40" i="23"/>
  <c r="T41" i="23" s="1"/>
  <c r="AG26" i="23"/>
  <c r="G26" i="23" s="1"/>
  <c r="W44" i="23"/>
  <c r="Y43" i="23"/>
  <c r="Y44" i="23" s="1"/>
  <c r="Z92" i="23"/>
  <c r="AA91" i="23"/>
  <c r="R37" i="23"/>
  <c r="T43" i="23"/>
  <c r="T44" i="23" s="1"/>
  <c r="S43" i="23"/>
  <c r="R44" i="23"/>
  <c r="AA46" i="23"/>
  <c r="W23" i="23"/>
  <c r="AH58" i="23"/>
  <c r="S17" i="23"/>
  <c r="T17" i="23"/>
  <c r="T18" i="23" s="1"/>
  <c r="AG52" i="23"/>
  <c r="AG64" i="23"/>
  <c r="Y20" i="23"/>
  <c r="Y21" i="23" s="1"/>
  <c r="Z40" i="23"/>
  <c r="R83" i="23"/>
  <c r="R84" i="23" s="1"/>
  <c r="R81" i="23"/>
  <c r="T80" i="23"/>
  <c r="Y46" i="23"/>
  <c r="Y47" i="23" s="1"/>
  <c r="S80" i="23"/>
  <c r="AA88" i="23"/>
  <c r="W88" i="23"/>
  <c r="R88" i="23"/>
  <c r="R94" i="23"/>
  <c r="R91" i="23"/>
  <c r="R105" i="23"/>
  <c r="W74" i="23"/>
  <c r="W91" i="23"/>
  <c r="AA105" i="23"/>
  <c r="AG107" i="23"/>
  <c r="AG103" i="23" s="1"/>
  <c r="AH64" i="23" l="1"/>
  <c r="T20" i="23"/>
  <c r="T21" i="23" s="1"/>
  <c r="S14" i="23"/>
  <c r="S15" i="23" s="1"/>
  <c r="R15" i="23"/>
  <c r="R101" i="23"/>
  <c r="AI32" i="23"/>
  <c r="W31" i="23" s="1"/>
  <c r="AH26" i="23"/>
  <c r="R31" i="23"/>
  <c r="R32" i="23" s="1"/>
  <c r="S34" i="23"/>
  <c r="U34" i="23" s="1"/>
  <c r="U35" i="23" s="1"/>
  <c r="AG6" i="23"/>
  <c r="AJ25" i="23" s="1"/>
  <c r="S75" i="23"/>
  <c r="F72" i="23"/>
  <c r="AI29" i="23"/>
  <c r="W28" i="23" s="1"/>
  <c r="R35" i="23"/>
  <c r="AA43" i="23"/>
  <c r="AB43" i="23" s="1"/>
  <c r="AB44" i="23" s="1"/>
  <c r="G86" i="23"/>
  <c r="P86" i="23"/>
  <c r="P72" i="23"/>
  <c r="AA14" i="23"/>
  <c r="Z15" i="23"/>
  <c r="R54" i="23"/>
  <c r="T54" i="23" s="1"/>
  <c r="T55" i="23" s="1"/>
  <c r="C31" i="35"/>
  <c r="C30" i="35"/>
  <c r="Z101" i="23"/>
  <c r="AA100" i="23"/>
  <c r="T100" i="23"/>
  <c r="T101" i="23" s="1"/>
  <c r="V26" i="23"/>
  <c r="C5" i="35"/>
  <c r="C16" i="35"/>
  <c r="F26" i="23"/>
  <c r="AA94" i="23"/>
  <c r="Z95" i="23"/>
  <c r="Z86" i="23" s="1"/>
  <c r="Y40" i="23"/>
  <c r="Y41" i="23" s="1"/>
  <c r="W41" i="23"/>
  <c r="AA97" i="23"/>
  <c r="Z98" i="23"/>
  <c r="W83" i="23"/>
  <c r="W81" i="23"/>
  <c r="Y80" i="23"/>
  <c r="Y81" i="23" s="1"/>
  <c r="G72" i="23"/>
  <c r="AH70" i="23"/>
  <c r="R69" i="23" s="1"/>
  <c r="T75" i="23"/>
  <c r="S77" i="23"/>
  <c r="S78" i="23" s="1"/>
  <c r="R47" i="23"/>
  <c r="T46" i="23"/>
  <c r="T47" i="23" s="1"/>
  <c r="S46" i="23"/>
  <c r="R11" i="23"/>
  <c r="T97" i="23"/>
  <c r="T98" i="23" s="1"/>
  <c r="R98" i="23"/>
  <c r="S97" i="23"/>
  <c r="AI48" i="23"/>
  <c r="AH61" i="23"/>
  <c r="R60" i="23" s="1"/>
  <c r="S21" i="23"/>
  <c r="U20" i="23"/>
  <c r="U21" i="23" s="1"/>
  <c r="AA17" i="23"/>
  <c r="Z18" i="23"/>
  <c r="AH9" i="23"/>
  <c r="AI12" i="23" s="1"/>
  <c r="A20" i="24"/>
  <c r="A21" i="24" s="1"/>
  <c r="A22" i="24" s="1"/>
  <c r="A25" i="24" s="1"/>
  <c r="A26" i="24" s="1"/>
  <c r="A27" i="24" s="1"/>
  <c r="A28" i="24" s="1"/>
  <c r="Q103" i="23"/>
  <c r="F103" i="23"/>
  <c r="E103" i="23"/>
  <c r="D103" i="23"/>
  <c r="Z103" i="23"/>
  <c r="S105" i="23"/>
  <c r="R106" i="23"/>
  <c r="T105" i="23"/>
  <c r="T106" i="23" s="1"/>
  <c r="T103" i="23" s="1"/>
  <c r="W103" i="23"/>
  <c r="D26" i="23"/>
  <c r="X26" i="23"/>
  <c r="M26" i="23"/>
  <c r="Q26" i="23"/>
  <c r="P26" i="23"/>
  <c r="N26" i="23"/>
  <c r="E26" i="23"/>
  <c r="S54" i="23"/>
  <c r="X86" i="23"/>
  <c r="N103" i="23"/>
  <c r="S91" i="23"/>
  <c r="R92" i="23"/>
  <c r="T91" i="23"/>
  <c r="T92" i="23" s="1"/>
  <c r="R89" i="23"/>
  <c r="T88" i="23"/>
  <c r="T89" i="23" s="1"/>
  <c r="S88" i="23"/>
  <c r="R72" i="23"/>
  <c r="M86" i="23"/>
  <c r="S18" i="23"/>
  <c r="U17" i="23"/>
  <c r="U18" i="23" s="1"/>
  <c r="Y23" i="23"/>
  <c r="Y24" i="23" s="1"/>
  <c r="W24" i="23"/>
  <c r="R51" i="23"/>
  <c r="M72" i="23"/>
  <c r="L72" i="23"/>
  <c r="V72" i="23"/>
  <c r="Q72" i="23"/>
  <c r="Y37" i="23"/>
  <c r="Y38" i="23" s="1"/>
  <c r="W38" i="23"/>
  <c r="E72" i="23"/>
  <c r="S94" i="23"/>
  <c r="T94" i="23"/>
  <c r="T95" i="23" s="1"/>
  <c r="R95" i="23"/>
  <c r="Y88" i="23"/>
  <c r="Y89" i="23" s="1"/>
  <c r="W89" i="23"/>
  <c r="L86" i="23"/>
  <c r="N72" i="23"/>
  <c r="U14" i="23"/>
  <c r="U15" i="23" s="1"/>
  <c r="E6" i="23"/>
  <c r="R66" i="23"/>
  <c r="R63" i="23"/>
  <c r="AA37" i="23"/>
  <c r="Z38" i="23"/>
  <c r="Y91" i="23"/>
  <c r="Y92" i="23" s="1"/>
  <c r="W92" i="23"/>
  <c r="U100" i="23"/>
  <c r="U101" i="23" s="1"/>
  <c r="S101" i="23"/>
  <c r="D72" i="23"/>
  <c r="R57" i="23"/>
  <c r="AC46" i="23"/>
  <c r="AC47" i="23" s="1"/>
  <c r="AB46" i="23"/>
  <c r="AB47" i="23" s="1"/>
  <c r="AA47" i="23"/>
  <c r="AC91" i="23"/>
  <c r="AC92" i="23" s="1"/>
  <c r="AB91" i="23"/>
  <c r="AB92" i="23" s="1"/>
  <c r="AA92" i="23"/>
  <c r="Y103" i="23"/>
  <c r="U77" i="23"/>
  <c r="U78" i="23" s="1"/>
  <c r="U75" i="23"/>
  <c r="R29" i="23"/>
  <c r="S28" i="23"/>
  <c r="T28" i="23"/>
  <c r="T29" i="23" s="1"/>
  <c r="V103" i="23"/>
  <c r="P103" i="23"/>
  <c r="G103" i="23"/>
  <c r="T37" i="23"/>
  <c r="T38" i="23" s="1"/>
  <c r="S37" i="23"/>
  <c r="R38" i="23"/>
  <c r="V86" i="23"/>
  <c r="E86" i="23"/>
  <c r="F86" i="23"/>
  <c r="D86" i="23"/>
  <c r="T83" i="23"/>
  <c r="T84" i="23" s="1"/>
  <c r="T81" i="23"/>
  <c r="Z41" i="23"/>
  <c r="AA40" i="23"/>
  <c r="X103" i="23"/>
  <c r="L26" i="23"/>
  <c r="AC88" i="23"/>
  <c r="AC89" i="23" s="1"/>
  <c r="AA89" i="23"/>
  <c r="AB88" i="23"/>
  <c r="AB89" i="23" s="1"/>
  <c r="S83" i="23"/>
  <c r="S84" i="23" s="1"/>
  <c r="S81" i="23"/>
  <c r="U80" i="23"/>
  <c r="AA106" i="23"/>
  <c r="AA103" i="23" s="1"/>
  <c r="AC105" i="23"/>
  <c r="AC106" i="23" s="1"/>
  <c r="AC103" i="23" s="1"/>
  <c r="AB105" i="23"/>
  <c r="AB106" i="23" s="1"/>
  <c r="AB103" i="23" s="1"/>
  <c r="Y74" i="23"/>
  <c r="Y75" i="23" s="1"/>
  <c r="W77" i="23"/>
  <c r="W75" i="23"/>
  <c r="AG49" i="23"/>
  <c r="F49" i="23" s="1"/>
  <c r="U43" i="23"/>
  <c r="U44" i="23" s="1"/>
  <c r="S44" i="23"/>
  <c r="S41" i="23"/>
  <c r="U40" i="23"/>
  <c r="U41" i="23" s="1"/>
  <c r="S23" i="23"/>
  <c r="R24" i="23"/>
  <c r="T23" i="23"/>
  <c r="T24" i="23" s="1"/>
  <c r="N6" i="23" l="1"/>
  <c r="T31" i="23"/>
  <c r="T32" i="23" s="1"/>
  <c r="S31" i="23"/>
  <c r="U31" i="23" s="1"/>
  <c r="U32" i="23" s="1"/>
  <c r="AA44" i="23"/>
  <c r="AJ29" i="23"/>
  <c r="Z28" i="23" s="1"/>
  <c r="S35" i="23"/>
  <c r="R55" i="23"/>
  <c r="W34" i="23"/>
  <c r="AJ48" i="23"/>
  <c r="T72" i="23"/>
  <c r="P6" i="23"/>
  <c r="AJ32" i="23"/>
  <c r="Z34" i="23" s="1"/>
  <c r="F6" i="23"/>
  <c r="X6" i="23"/>
  <c r="V6" i="23"/>
  <c r="G6" i="23"/>
  <c r="D6" i="23"/>
  <c r="Q6" i="23"/>
  <c r="AI26" i="23"/>
  <c r="AC43" i="23"/>
  <c r="AC44" i="23" s="1"/>
  <c r="AC14" i="23"/>
  <c r="AC15" i="23" s="1"/>
  <c r="AB14" i="23"/>
  <c r="AB15" i="23" s="1"/>
  <c r="AA15" i="23"/>
  <c r="AH49" i="23"/>
  <c r="AI102" i="23" s="1"/>
  <c r="G49" i="23"/>
  <c r="S98" i="23"/>
  <c r="U97" i="23"/>
  <c r="U98" i="23" s="1"/>
  <c r="W11" i="23"/>
  <c r="W84" i="23"/>
  <c r="Y83" i="23"/>
  <c r="Y84" i="23" s="1"/>
  <c r="AA101" i="23"/>
  <c r="AC100" i="23"/>
  <c r="AC101" i="23" s="1"/>
  <c r="AB100" i="23"/>
  <c r="AB101" i="23" s="1"/>
  <c r="M49" i="23"/>
  <c r="E49" i="23"/>
  <c r="AI9" i="23"/>
  <c r="AI15" i="23"/>
  <c r="R8" i="23"/>
  <c r="AH6" i="23"/>
  <c r="S47" i="23"/>
  <c r="U46" i="23"/>
  <c r="U47" i="23" s="1"/>
  <c r="AI61" i="23"/>
  <c r="W60" i="23" s="1"/>
  <c r="V49" i="23"/>
  <c r="P49" i="23"/>
  <c r="AC97" i="23"/>
  <c r="AC98" i="23" s="1"/>
  <c r="AA98" i="23"/>
  <c r="AB97" i="23"/>
  <c r="AB98" i="23" s="1"/>
  <c r="AA95" i="23"/>
  <c r="AB94" i="23"/>
  <c r="AB95" i="23" s="1"/>
  <c r="AC94" i="23"/>
  <c r="AC95" i="23" s="1"/>
  <c r="X49" i="23"/>
  <c r="L49" i="23"/>
  <c r="AA18" i="23"/>
  <c r="AC17" i="23"/>
  <c r="AC18" i="23" s="1"/>
  <c r="AB17" i="23"/>
  <c r="AB18" i="23" s="1"/>
  <c r="R12" i="23"/>
  <c r="T11" i="23"/>
  <c r="T12" i="23" s="1"/>
  <c r="S11" i="23"/>
  <c r="A29" i="24"/>
  <c r="A30" i="24" s="1"/>
  <c r="A31" i="24" s="1"/>
  <c r="A34" i="24" s="1"/>
  <c r="W32" i="23"/>
  <c r="Y31" i="23"/>
  <c r="Y32" i="23" s="1"/>
  <c r="U91" i="23"/>
  <c r="U92" i="23" s="1"/>
  <c r="S92" i="23"/>
  <c r="S24" i="23"/>
  <c r="U23" i="23"/>
  <c r="U24" i="23" s="1"/>
  <c r="W29" i="23"/>
  <c r="Y28" i="23"/>
  <c r="Y29" i="23" s="1"/>
  <c r="R64" i="23"/>
  <c r="T63" i="23"/>
  <c r="T64" i="23" s="1"/>
  <c r="S63" i="23"/>
  <c r="W35" i="23"/>
  <c r="Y34" i="23"/>
  <c r="Y35" i="23" s="1"/>
  <c r="T57" i="23"/>
  <c r="T58" i="23" s="1"/>
  <c r="S57" i="23"/>
  <c r="R58" i="23"/>
  <c r="S66" i="23"/>
  <c r="R67" i="23"/>
  <c r="T66" i="23"/>
  <c r="T67" i="23" s="1"/>
  <c r="S51" i="23"/>
  <c r="T51" i="23"/>
  <c r="T52" i="23" s="1"/>
  <c r="R52" i="23"/>
  <c r="R103" i="23"/>
  <c r="AA38" i="23"/>
  <c r="AC37" i="23"/>
  <c r="AC38" i="23" s="1"/>
  <c r="AB37" i="23"/>
  <c r="AB38" i="23" s="1"/>
  <c r="S89" i="23"/>
  <c r="U88" i="23"/>
  <c r="U89" i="23" s="1"/>
  <c r="S106" i="23"/>
  <c r="S103" i="23" s="1"/>
  <c r="U105" i="23"/>
  <c r="U106" i="23" s="1"/>
  <c r="U103" i="23" s="1"/>
  <c r="Q49" i="23"/>
  <c r="N49" i="23"/>
  <c r="U81" i="23"/>
  <c r="U83" i="23"/>
  <c r="U84" i="23" s="1"/>
  <c r="S72" i="23"/>
  <c r="R70" i="23"/>
  <c r="S69" i="23"/>
  <c r="T69" i="23"/>
  <c r="T70" i="23" s="1"/>
  <c r="T26" i="23"/>
  <c r="D49" i="23"/>
  <c r="T86" i="23"/>
  <c r="U94" i="23"/>
  <c r="U95" i="23" s="1"/>
  <c r="S95" i="23"/>
  <c r="Y77" i="23"/>
  <c r="Y78" i="23" s="1"/>
  <c r="W78" i="23"/>
  <c r="U28" i="23"/>
  <c r="U29" i="23" s="1"/>
  <c r="S29" i="23"/>
  <c r="R86" i="23"/>
  <c r="R26" i="23"/>
  <c r="S60" i="23"/>
  <c r="T60" i="23"/>
  <c r="T61" i="23" s="1"/>
  <c r="R61" i="23"/>
  <c r="AA41" i="23"/>
  <c r="AB40" i="23"/>
  <c r="AB41" i="23" s="1"/>
  <c r="AC40" i="23"/>
  <c r="AC41" i="23" s="1"/>
  <c r="U37" i="23"/>
  <c r="U38" i="23" s="1"/>
  <c r="S38" i="23"/>
  <c r="U54" i="23"/>
  <c r="U55" i="23" s="1"/>
  <c r="S55" i="23"/>
  <c r="S32" i="23"/>
  <c r="AD44" i="23" l="1"/>
  <c r="Y72" i="23"/>
  <c r="AI70" i="23"/>
  <c r="W69" i="23" s="1"/>
  <c r="AJ26" i="23"/>
  <c r="AI58" i="23"/>
  <c r="W57" i="23" s="1"/>
  <c r="Y57" i="23" s="1"/>
  <c r="Y58" i="23" s="1"/>
  <c r="Z31" i="23"/>
  <c r="Z32" i="23" s="1"/>
  <c r="AD92" i="23"/>
  <c r="B10" i="35" s="1"/>
  <c r="F10" i="35" s="1"/>
  <c r="AD47" i="23"/>
  <c r="AI107" i="23"/>
  <c r="AI103" i="23" s="1"/>
  <c r="AI52" i="23"/>
  <c r="W54" i="23" s="1"/>
  <c r="AI85" i="23"/>
  <c r="AI72" i="23" s="1"/>
  <c r="AJ75" i="23" s="1"/>
  <c r="W72" i="23"/>
  <c r="AI98" i="23"/>
  <c r="AI64" i="23"/>
  <c r="W66" i="23" s="1"/>
  <c r="Y66" i="23" s="1"/>
  <c r="Y67" i="23" s="1"/>
  <c r="AI71" i="23"/>
  <c r="AD95" i="23"/>
  <c r="B13" i="35" s="1"/>
  <c r="AB86" i="23"/>
  <c r="AC86" i="23"/>
  <c r="AD41" i="23"/>
  <c r="B3" i="35" s="1"/>
  <c r="U72" i="23"/>
  <c r="AA86" i="23"/>
  <c r="R9" i="23"/>
  <c r="R6" i="23" s="1"/>
  <c r="S8" i="23"/>
  <c r="T8" i="23"/>
  <c r="T9" i="23" s="1"/>
  <c r="T6" i="23" s="1"/>
  <c r="AD38" i="23"/>
  <c r="B9" i="35" s="1"/>
  <c r="F9" i="35" s="1"/>
  <c r="W17" i="23"/>
  <c r="W14" i="23"/>
  <c r="W12" i="23"/>
  <c r="Y11" i="23"/>
  <c r="Y12" i="23" s="1"/>
  <c r="W26" i="23"/>
  <c r="S12" i="23"/>
  <c r="U11" i="23"/>
  <c r="U12" i="23" s="1"/>
  <c r="AJ9" i="23"/>
  <c r="W8" i="23"/>
  <c r="AI6" i="23"/>
  <c r="AJ24" i="23"/>
  <c r="Z23" i="23" s="1"/>
  <c r="AJ21" i="23"/>
  <c r="Z20" i="23" s="1"/>
  <c r="AJ12" i="23"/>
  <c r="Z11" i="23" s="1"/>
  <c r="S86" i="23"/>
  <c r="AD103" i="23"/>
  <c r="A35" i="24"/>
  <c r="U60" i="23"/>
  <c r="U61" i="23" s="1"/>
  <c r="S61" i="23"/>
  <c r="W61" i="23"/>
  <c r="Y60" i="23"/>
  <c r="Y61" i="23" s="1"/>
  <c r="Y69" i="23"/>
  <c r="Y70" i="23" s="1"/>
  <c r="W70" i="23"/>
  <c r="U51" i="23"/>
  <c r="U52" i="23" s="1"/>
  <c r="S52" i="23"/>
  <c r="S26" i="23"/>
  <c r="U26" i="23"/>
  <c r="Z29" i="23"/>
  <c r="AA28" i="23"/>
  <c r="Z35" i="23"/>
  <c r="AA34" i="23"/>
  <c r="S70" i="23"/>
  <c r="U69" i="23"/>
  <c r="U70" i="23" s="1"/>
  <c r="AD89" i="23"/>
  <c r="AD106" i="23"/>
  <c r="U86" i="23"/>
  <c r="S67" i="23"/>
  <c r="U66" i="23"/>
  <c r="U67" i="23" s="1"/>
  <c r="W58" i="23"/>
  <c r="R49" i="23"/>
  <c r="T49" i="23"/>
  <c r="U57" i="23"/>
  <c r="U58" i="23" s="1"/>
  <c r="S58" i="23"/>
  <c r="U63" i="23"/>
  <c r="U64" i="23" s="1"/>
  <c r="S64" i="23"/>
  <c r="Y26" i="23"/>
  <c r="AA31" i="23" l="1"/>
  <c r="W67" i="23"/>
  <c r="W51" i="23"/>
  <c r="AJ81" i="23"/>
  <c r="Z80" i="23" s="1"/>
  <c r="Z81" i="23" s="1"/>
  <c r="AJ85" i="23"/>
  <c r="W63" i="23"/>
  <c r="W100" i="23"/>
  <c r="AI86" i="23"/>
  <c r="AJ107" i="23"/>
  <c r="AJ103" i="23" s="1"/>
  <c r="W97" i="23"/>
  <c r="AI49" i="23"/>
  <c r="Y51" i="23"/>
  <c r="Y52" i="23" s="1"/>
  <c r="W52" i="23"/>
  <c r="AA11" i="23"/>
  <c r="Z12" i="23"/>
  <c r="W9" i="23"/>
  <c r="Y8" i="23"/>
  <c r="Y9" i="23" s="1"/>
  <c r="Y17" i="23"/>
  <c r="Y18" i="23" s="1"/>
  <c r="W18" i="23"/>
  <c r="W55" i="23"/>
  <c r="Y54" i="23"/>
  <c r="Y55" i="23" s="1"/>
  <c r="Z21" i="23"/>
  <c r="AA20" i="23"/>
  <c r="Z8" i="23"/>
  <c r="AJ6" i="23"/>
  <c r="Z24" i="23"/>
  <c r="AA23" i="23"/>
  <c r="Z26" i="23"/>
  <c r="W15" i="23"/>
  <c r="Y14" i="23"/>
  <c r="Y15" i="23" s="1"/>
  <c r="U8" i="23"/>
  <c r="U9" i="23" s="1"/>
  <c r="U6" i="23" s="1"/>
  <c r="S9" i="23"/>
  <c r="S6" i="23" s="1"/>
  <c r="A36" i="24"/>
  <c r="A37" i="24" s="1"/>
  <c r="A40" i="24" s="1"/>
  <c r="A41" i="24" s="1"/>
  <c r="AA32" i="23"/>
  <c r="AC31" i="23"/>
  <c r="AC32" i="23" s="1"/>
  <c r="AB31" i="23"/>
  <c r="AB32" i="23" s="1"/>
  <c r="AA35" i="23"/>
  <c r="AC34" i="23"/>
  <c r="AC35" i="23" s="1"/>
  <c r="AB34" i="23"/>
  <c r="AB35" i="23" s="1"/>
  <c r="S49" i="23"/>
  <c r="U49" i="23"/>
  <c r="AB28" i="23"/>
  <c r="AB29" i="23" s="1"/>
  <c r="AC28" i="23"/>
  <c r="AC29" i="23" s="1"/>
  <c r="AA29" i="23"/>
  <c r="Z74" i="23"/>
  <c r="AJ72" i="23"/>
  <c r="AA80" i="23" l="1"/>
  <c r="Z83" i="23"/>
  <c r="Z84" i="23" s="1"/>
  <c r="AD18" i="23"/>
  <c r="B28" i="35" s="1"/>
  <c r="W64" i="23"/>
  <c r="W49" i="23" s="1"/>
  <c r="Y63" i="23"/>
  <c r="Y64" i="23" s="1"/>
  <c r="Y49" i="23" s="1"/>
  <c r="Y97" i="23"/>
  <c r="Y98" i="23" s="1"/>
  <c r="W98" i="23"/>
  <c r="AJ64" i="23"/>
  <c r="AJ58" i="23"/>
  <c r="Z57" i="23" s="1"/>
  <c r="AJ71" i="23"/>
  <c r="AJ61" i="23"/>
  <c r="Z60" i="23" s="1"/>
  <c r="AJ52" i="23"/>
  <c r="AJ70" i="23"/>
  <c r="Z69" i="23" s="1"/>
  <c r="W101" i="23"/>
  <c r="Y100" i="23"/>
  <c r="Y101" i="23" s="1"/>
  <c r="AD29" i="23"/>
  <c r="Z9" i="23"/>
  <c r="Z6" i="23" s="1"/>
  <c r="AA8" i="23"/>
  <c r="Y6" i="23"/>
  <c r="AC26" i="23"/>
  <c r="AD15" i="23"/>
  <c r="AC23" i="23"/>
  <c r="AC24" i="23" s="1"/>
  <c r="AB23" i="23"/>
  <c r="AB24" i="23" s="1"/>
  <c r="AA24" i="23"/>
  <c r="AA21" i="23"/>
  <c r="AC20" i="23"/>
  <c r="AC21" i="23" s="1"/>
  <c r="AB20" i="23"/>
  <c r="AB21" i="23" s="1"/>
  <c r="W6" i="23"/>
  <c r="AA12" i="23"/>
  <c r="AC11" i="23"/>
  <c r="AC12" i="23" s="1"/>
  <c r="AB11" i="23"/>
  <c r="AB12" i="23" s="1"/>
  <c r="A42" i="24"/>
  <c r="A43" i="24" s="1"/>
  <c r="A44" i="24" s="1"/>
  <c r="A47" i="24" s="1"/>
  <c r="AA26" i="23"/>
  <c r="AB26" i="23"/>
  <c r="AD32" i="23"/>
  <c r="Z77" i="23"/>
  <c r="Z78" i="23" s="1"/>
  <c r="AA74" i="23"/>
  <c r="Z75" i="23"/>
  <c r="AD35" i="23"/>
  <c r="AA81" i="23"/>
  <c r="AC80" i="23"/>
  <c r="AA83" i="23"/>
  <c r="AA84" i="23" s="1"/>
  <c r="AB80" i="23"/>
  <c r="Y86" i="23" l="1"/>
  <c r="AD101" i="23"/>
  <c r="AJ49" i="23"/>
  <c r="Z51" i="23"/>
  <c r="Z54" i="23"/>
  <c r="Z63" i="23"/>
  <c r="Z66" i="23"/>
  <c r="AA60" i="23"/>
  <c r="Z61" i="23"/>
  <c r="AD98" i="23"/>
  <c r="W86" i="23"/>
  <c r="AA69" i="23"/>
  <c r="Z70" i="23"/>
  <c r="AA57" i="23"/>
  <c r="Z58" i="23"/>
  <c r="AD21" i="23"/>
  <c r="B26" i="35" s="1"/>
  <c r="AD26" i="23"/>
  <c r="AD12" i="23"/>
  <c r="AB8" i="23"/>
  <c r="AB9" i="23" s="1"/>
  <c r="AB6" i="23" s="1"/>
  <c r="AA9" i="23"/>
  <c r="AA6" i="23" s="1"/>
  <c r="AC8" i="23"/>
  <c r="AC9" i="23" s="1"/>
  <c r="AC6" i="23" s="1"/>
  <c r="AD24" i="23"/>
  <c r="AA77" i="23"/>
  <c r="AA78" i="23" s="1"/>
  <c r="AA75" i="23"/>
  <c r="AC74" i="23"/>
  <c r="AB74" i="23"/>
  <c r="AB83" i="23"/>
  <c r="AB84" i="23" s="1"/>
  <c r="AB81" i="23"/>
  <c r="AC83" i="23"/>
  <c r="AC84" i="23" s="1"/>
  <c r="AC81" i="23"/>
  <c r="Z72" i="23"/>
  <c r="AD86" i="23" l="1"/>
  <c r="AB57" i="23"/>
  <c r="AB58" i="23" s="1"/>
  <c r="AA58" i="23"/>
  <c r="AC57" i="23"/>
  <c r="AC58" i="23" s="1"/>
  <c r="Z64" i="23"/>
  <c r="AA63" i="23"/>
  <c r="AA54" i="23"/>
  <c r="Z55" i="23"/>
  <c r="AB69" i="23"/>
  <c r="AB70" i="23" s="1"/>
  <c r="AA70" i="23"/>
  <c r="AC69" i="23"/>
  <c r="AC70" i="23" s="1"/>
  <c r="AC60" i="23"/>
  <c r="AC61" i="23" s="1"/>
  <c r="AA61" i="23"/>
  <c r="AB60" i="23"/>
  <c r="AB61" i="23" s="1"/>
  <c r="AA51" i="23"/>
  <c r="Z52" i="23"/>
  <c r="AD6" i="23"/>
  <c r="Z67" i="23"/>
  <c r="AA66" i="23"/>
  <c r="AD9" i="23"/>
  <c r="AB75" i="23"/>
  <c r="AB77" i="23"/>
  <c r="AB78" i="23" s="1"/>
  <c r="AD81" i="23"/>
  <c r="B17" i="35" s="1"/>
  <c r="F17" i="35" s="1"/>
  <c r="AC75" i="23"/>
  <c r="AC77" i="23"/>
  <c r="AC78" i="23" s="1"/>
  <c r="AD84" i="23"/>
  <c r="AA72" i="23"/>
  <c r="AD58" i="23" l="1"/>
  <c r="AD61" i="23"/>
  <c r="B2" i="35" s="1"/>
  <c r="AD78" i="23"/>
  <c r="B8" i="35" s="1"/>
  <c r="AD70" i="23"/>
  <c r="AA52" i="23"/>
  <c r="AC51" i="23"/>
  <c r="AC52" i="23" s="1"/>
  <c r="AB51" i="23"/>
  <c r="AB52" i="23" s="1"/>
  <c r="AB54" i="23"/>
  <c r="AB55" i="23" s="1"/>
  <c r="AC54" i="23"/>
  <c r="AC55" i="23" s="1"/>
  <c r="AA55" i="23"/>
  <c r="AA67" i="23"/>
  <c r="AB66" i="23"/>
  <c r="AB67" i="23" s="1"/>
  <c r="AC66" i="23"/>
  <c r="AC67" i="23" s="1"/>
  <c r="Z49" i="23"/>
  <c r="AA64" i="23"/>
  <c r="AC63" i="23"/>
  <c r="AC64" i="23" s="1"/>
  <c r="AB63" i="23"/>
  <c r="AB64" i="23" s="1"/>
  <c r="AC72" i="23"/>
  <c r="AB72" i="23"/>
  <c r="AD75" i="23"/>
  <c r="AD64" i="23" l="1"/>
  <c r="B30" i="35" s="1"/>
  <c r="F30" i="35" s="1"/>
  <c r="AD67" i="23"/>
  <c r="AB49" i="23"/>
  <c r="AD55" i="23"/>
  <c r="AC49" i="23"/>
  <c r="AD52" i="23"/>
  <c r="AA49" i="23"/>
  <c r="AD49" i="23" s="1"/>
  <c r="AD72" i="23"/>
  <c r="C51" i="33"/>
  <c r="A23" i="33" l="1"/>
  <c r="A37" i="33" s="1"/>
  <c r="A51" i="33" s="1"/>
  <c r="A65" i="33" s="1"/>
  <c r="C63" i="33"/>
  <c r="C62" i="33"/>
  <c r="C61" i="33"/>
  <c r="C60" i="33"/>
  <c r="C59" i="33"/>
  <c r="C58" i="33"/>
  <c r="C57" i="33"/>
  <c r="C56" i="33"/>
  <c r="C55" i="33"/>
  <c r="C54" i="33"/>
  <c r="C53" i="33"/>
  <c r="C52" i="33"/>
  <c r="B7" i="23"/>
  <c r="A10" i="23"/>
  <c r="A13" i="23" s="1"/>
  <c r="A16" i="23" s="1"/>
  <c r="B16" i="23" s="1"/>
  <c r="A28" i="35" s="1"/>
  <c r="AG112" i="23"/>
  <c r="B51" i="33" l="1"/>
  <c r="B11" i="24"/>
  <c r="A79" i="33"/>
  <c r="A95" i="33" s="1"/>
  <c r="A109" i="33" s="1"/>
  <c r="A123" i="33" s="1"/>
  <c r="B10" i="23"/>
  <c r="B13" i="23"/>
  <c r="A19" i="23"/>
  <c r="A137" i="33" l="1"/>
  <c r="A22" i="23"/>
  <c r="B19" i="23"/>
  <c r="A26" i="35" s="1"/>
  <c r="B65" i="33" l="1"/>
  <c r="B12" i="24"/>
  <c r="A151" i="33"/>
  <c r="A165" i="33" s="1"/>
  <c r="A179" i="33" s="1"/>
  <c r="A195" i="33" s="1"/>
  <c r="A209" i="33" s="1"/>
  <c r="A223" i="33" s="1"/>
  <c r="A27" i="23"/>
  <c r="B22" i="23"/>
  <c r="A237" i="33" l="1"/>
  <c r="A30" i="23"/>
  <c r="B27" i="23"/>
  <c r="A251" i="33" l="1"/>
  <c r="A265" i="33" s="1"/>
  <c r="A279" i="33" s="1"/>
  <c r="A295" i="33" s="1"/>
  <c r="A33" i="23"/>
  <c r="A36" i="23" s="1"/>
  <c r="B30" i="23"/>
  <c r="A309" i="33" l="1"/>
  <c r="A323" i="33" s="1"/>
  <c r="B36" i="23"/>
  <c r="A9" i="35" s="1"/>
  <c r="A39" i="23"/>
  <c r="B39" i="23" s="1"/>
  <c r="A3" i="35" s="1"/>
  <c r="B33" i="23"/>
  <c r="B151" i="33" l="1"/>
  <c r="B20" i="24"/>
  <c r="B137" i="33"/>
  <c r="B19" i="24"/>
  <c r="A337" i="33"/>
  <c r="A353" i="33" s="1"/>
  <c r="A42" i="23"/>
  <c r="A45" i="23" s="1"/>
  <c r="A367" i="33" l="1"/>
  <c r="B42" i="23"/>
  <c r="A50" i="23"/>
  <c r="B45" i="23"/>
  <c r="A381" i="33" l="1"/>
  <c r="A395" i="33" s="1"/>
  <c r="A409" i="33" s="1"/>
  <c r="A425" i="33" s="1"/>
  <c r="A53" i="23"/>
  <c r="B50" i="23"/>
  <c r="A56" i="23" l="1"/>
  <c r="A59" i="23" s="1"/>
  <c r="B53" i="23"/>
  <c r="B59" i="23" l="1"/>
  <c r="A62" i="23"/>
  <c r="B62" i="23" s="1"/>
  <c r="A30" i="35" s="1"/>
  <c r="B56" i="23"/>
  <c r="B28" i="24" l="1"/>
  <c r="A2" i="35"/>
  <c r="B251" i="33"/>
  <c r="B29" i="24"/>
  <c r="B237" i="33"/>
  <c r="A65" i="23"/>
  <c r="B65" i="23" s="1"/>
  <c r="A68" i="23" l="1"/>
  <c r="B68" i="23" s="1"/>
  <c r="A73" i="23" l="1"/>
  <c r="A76" i="23" s="1"/>
  <c r="B76" i="23" s="1"/>
  <c r="A8" i="35" s="1"/>
  <c r="B309" i="33" l="1"/>
  <c r="B35" i="24"/>
  <c r="A79" i="23"/>
  <c r="B79" i="23" s="1"/>
  <c r="A17" i="35" s="1"/>
  <c r="B73" i="23"/>
  <c r="B323" i="33" l="1"/>
  <c r="B36" i="24"/>
  <c r="A82" i="23"/>
  <c r="B82" i="23" l="1"/>
  <c r="A87" i="23"/>
  <c r="A90" i="23" s="1"/>
  <c r="A93" i="23" l="1"/>
  <c r="B93" i="23" s="1"/>
  <c r="A13" i="35" s="1"/>
  <c r="B90" i="23"/>
  <c r="A10" i="35" s="1"/>
  <c r="B87" i="23"/>
  <c r="B381" i="33" l="1"/>
  <c r="B42" i="24"/>
  <c r="B367" i="33"/>
  <c r="B41" i="24"/>
  <c r="A96" i="23"/>
  <c r="B96" i="23" s="1"/>
  <c r="A99" i="23" l="1"/>
  <c r="B99" i="23" s="1"/>
  <c r="A104" i="23" l="1"/>
  <c r="B104" i="23" s="1"/>
  <c r="AI87" i="19" l="1"/>
  <c r="AC87" i="19"/>
  <c r="AD87" i="19"/>
  <c r="AG87" i="19" s="1"/>
  <c r="AM87" i="19"/>
  <c r="AN87" i="19" s="1"/>
  <c r="AP87" i="19"/>
  <c r="AT87" i="19"/>
  <c r="AU87" i="19" s="1"/>
  <c r="AW87" i="19"/>
  <c r="AT85" i="19"/>
  <c r="AU85" i="19" s="1"/>
  <c r="AT86" i="19"/>
  <c r="AM85" i="19"/>
  <c r="AN85" i="19" s="1"/>
  <c r="AM86" i="19"/>
  <c r="AN86" i="19" s="1"/>
  <c r="AP78" i="19"/>
  <c r="AP77" i="19"/>
  <c r="AP76" i="19"/>
  <c r="AP75" i="19"/>
  <c r="AP74" i="19"/>
  <c r="AP68" i="19"/>
  <c r="AP69" i="19"/>
  <c r="AP70" i="19"/>
  <c r="AP71" i="19"/>
  <c r="AP72" i="19"/>
  <c r="AI89" i="19"/>
  <c r="AI5" i="19"/>
  <c r="BD56" i="19"/>
  <c r="BD57" i="19"/>
  <c r="BD59" i="19"/>
  <c r="AP86" i="19"/>
  <c r="AW86" i="19"/>
  <c r="AP85" i="19"/>
  <c r="AW85" i="19"/>
  <c r="AI86" i="19"/>
  <c r="AI85" i="19"/>
  <c r="AD85" i="19"/>
  <c r="AG85" i="19" s="1"/>
  <c r="AD86" i="19"/>
  <c r="AG86" i="19" s="1"/>
  <c r="AC85" i="19"/>
  <c r="AC86" i="19"/>
  <c r="AI84" i="19"/>
  <c r="AI83" i="19"/>
  <c r="AI82" i="19"/>
  <c r="AI81" i="19"/>
  <c r="AI80" i="19"/>
  <c r="AI78" i="19"/>
  <c r="AI77" i="19"/>
  <c r="AI76" i="19"/>
  <c r="AI75" i="19"/>
  <c r="AI74" i="19"/>
  <c r="AI72" i="19"/>
  <c r="AI71" i="19"/>
  <c r="AI70" i="19"/>
  <c r="AI69" i="19"/>
  <c r="AI68" i="19"/>
  <c r="AI67" i="19"/>
  <c r="AI65" i="19"/>
  <c r="AI64" i="19"/>
  <c r="AI63" i="19"/>
  <c r="AI62" i="19"/>
  <c r="AI61" i="19"/>
  <c r="AI38" i="19"/>
  <c r="AI37" i="19"/>
  <c r="AI36" i="19"/>
  <c r="AI35" i="19"/>
  <c r="AI34" i="19"/>
  <c r="AI33" i="19"/>
  <c r="AI31" i="19"/>
  <c r="AI30" i="19"/>
  <c r="AI29" i="19"/>
  <c r="AI28" i="19"/>
  <c r="AI27" i="19"/>
  <c r="AI26" i="19"/>
  <c r="AI24" i="19"/>
  <c r="AI23" i="19"/>
  <c r="AI22" i="19"/>
  <c r="AI21" i="19"/>
  <c r="AI20" i="19"/>
  <c r="AI19" i="19"/>
  <c r="AI17" i="19"/>
  <c r="AI16" i="19"/>
  <c r="AI15" i="19"/>
  <c r="AI14" i="19"/>
  <c r="AI13" i="19"/>
  <c r="AI12" i="19"/>
  <c r="BF88" i="19"/>
  <c r="AT59" i="19"/>
  <c r="AU59" i="19" s="1"/>
  <c r="AM59" i="19"/>
  <c r="AN59" i="19" s="1"/>
  <c r="AI59" i="19"/>
  <c r="AD59" i="19"/>
  <c r="AC59" i="19"/>
  <c r="AT58" i="19"/>
  <c r="AM58" i="19"/>
  <c r="AN58" i="19" s="1"/>
  <c r="AI58" i="19"/>
  <c r="AD58" i="19"/>
  <c r="AC58" i="19"/>
  <c r="AT57" i="19"/>
  <c r="AU57" i="19" s="1"/>
  <c r="AM57" i="19"/>
  <c r="AI57" i="19"/>
  <c r="AD57" i="19"/>
  <c r="AC57" i="19"/>
  <c r="AT56" i="19"/>
  <c r="AM56" i="19"/>
  <c r="AN56" i="19" s="1"/>
  <c r="AI56" i="19"/>
  <c r="AD56" i="19"/>
  <c r="AC56" i="19"/>
  <c r="AT55" i="19"/>
  <c r="AU55" i="19" s="1"/>
  <c r="AM55" i="19"/>
  <c r="AN55" i="19" s="1"/>
  <c r="AI55" i="19"/>
  <c r="AD55" i="19"/>
  <c r="AC55" i="19"/>
  <c r="AT54" i="19"/>
  <c r="AU54" i="19" s="1"/>
  <c r="AM54" i="19"/>
  <c r="AN54" i="19" s="1"/>
  <c r="AI54" i="19"/>
  <c r="AD54" i="19"/>
  <c r="AC54" i="19"/>
  <c r="AT52" i="19"/>
  <c r="AU52" i="19" s="1"/>
  <c r="AM52" i="19"/>
  <c r="AN52" i="19" s="1"/>
  <c r="AI52" i="19"/>
  <c r="AD52" i="19"/>
  <c r="AC52" i="19"/>
  <c r="AT51" i="19"/>
  <c r="AM51" i="19"/>
  <c r="AN51" i="19" s="1"/>
  <c r="AI51" i="19"/>
  <c r="AD51" i="19"/>
  <c r="AC51" i="19"/>
  <c r="AT50" i="19"/>
  <c r="AU50" i="19" s="1"/>
  <c r="AM50" i="19"/>
  <c r="AI50" i="19"/>
  <c r="AD50" i="19"/>
  <c r="AC50" i="19"/>
  <c r="AT49" i="19"/>
  <c r="AM49" i="19"/>
  <c r="AI49" i="19"/>
  <c r="AD49" i="19"/>
  <c r="AC49" i="19"/>
  <c r="AT48" i="19"/>
  <c r="AU48" i="19" s="1"/>
  <c r="AM48" i="19"/>
  <c r="AI48" i="19"/>
  <c r="AD48" i="19"/>
  <c r="AC48" i="19"/>
  <c r="AT47" i="19"/>
  <c r="AM47" i="19"/>
  <c r="AN47" i="19" s="1"/>
  <c r="AI47" i="19"/>
  <c r="AD47" i="19"/>
  <c r="AC47" i="19"/>
  <c r="AT45" i="19"/>
  <c r="AU45" i="19" s="1"/>
  <c r="AM45" i="19"/>
  <c r="AI45" i="19"/>
  <c r="AD45" i="19"/>
  <c r="AC45" i="19"/>
  <c r="AT44" i="19"/>
  <c r="AM44" i="19"/>
  <c r="AN44" i="19" s="1"/>
  <c r="AI44" i="19"/>
  <c r="AD44" i="19"/>
  <c r="AC44" i="19"/>
  <c r="AT43" i="19"/>
  <c r="AU43" i="19" s="1"/>
  <c r="AM43" i="19"/>
  <c r="AN43" i="19" s="1"/>
  <c r="AI43" i="19"/>
  <c r="AD43" i="19"/>
  <c r="AC43" i="19"/>
  <c r="AT42" i="19"/>
  <c r="AU42" i="19" s="1"/>
  <c r="AM42" i="19"/>
  <c r="AN42" i="19" s="1"/>
  <c r="AI42" i="19"/>
  <c r="AD42" i="19"/>
  <c r="AC42" i="19"/>
  <c r="AT41" i="19"/>
  <c r="AU41" i="19" s="1"/>
  <c r="AM41" i="19"/>
  <c r="AI41" i="19"/>
  <c r="AD41" i="19"/>
  <c r="AC41" i="19"/>
  <c r="AT40" i="19"/>
  <c r="AM40" i="19"/>
  <c r="AN40" i="19" s="1"/>
  <c r="AI40" i="19"/>
  <c r="AD40" i="19"/>
  <c r="AC40" i="19"/>
  <c r="AD31" i="19"/>
  <c r="AC31" i="19"/>
  <c r="AD30" i="19"/>
  <c r="AC30" i="19"/>
  <c r="AD29" i="19"/>
  <c r="AC29" i="19"/>
  <c r="AD28" i="19"/>
  <c r="AC28" i="19"/>
  <c r="AD27" i="19"/>
  <c r="AC27" i="19"/>
  <c r="AD26" i="19"/>
  <c r="AC26" i="19"/>
  <c r="AQ86" i="19" l="1"/>
  <c r="AR86" i="19"/>
  <c r="AK87" i="19"/>
  <c r="AR87" i="19"/>
  <c r="AX86" i="19"/>
  <c r="AY85" i="19"/>
  <c r="AY87" i="19"/>
  <c r="AJ87" i="19"/>
  <c r="AX87" i="19"/>
  <c r="AQ87" i="19"/>
  <c r="AR85" i="19"/>
  <c r="AQ85" i="19"/>
  <c r="AU86" i="19"/>
  <c r="AY86" i="19" s="1"/>
  <c r="AX85" i="19"/>
  <c r="AJ86" i="19"/>
  <c r="AJ85" i="19"/>
  <c r="AK86" i="19"/>
  <c r="AK85" i="19"/>
  <c r="AN48" i="19"/>
  <c r="AU51" i="19"/>
  <c r="AU58" i="19"/>
  <c r="AU47" i="19"/>
  <c r="AN49" i="19"/>
  <c r="AU56" i="19"/>
  <c r="AN57" i="19"/>
  <c r="AU49" i="19"/>
  <c r="AN50" i="19"/>
  <c r="AU40" i="19"/>
  <c r="AN41" i="19"/>
  <c r="AU44" i="19"/>
  <c r="AN45" i="19"/>
  <c r="AI10" i="19" l="1"/>
  <c r="AI9" i="19"/>
  <c r="AI8" i="19"/>
  <c r="AI7" i="19"/>
  <c r="AI6" i="19"/>
  <c r="AT38" i="19"/>
  <c r="AU38" i="19" s="1"/>
  <c r="AM38" i="19"/>
  <c r="AN38" i="19" s="1"/>
  <c r="AD38" i="19"/>
  <c r="AC38" i="19"/>
  <c r="AT37" i="19"/>
  <c r="AU37" i="19" s="1"/>
  <c r="AM37" i="19"/>
  <c r="AN37" i="19" s="1"/>
  <c r="AD37" i="19"/>
  <c r="AC37" i="19"/>
  <c r="AT36" i="19"/>
  <c r="AM36" i="19"/>
  <c r="AN36" i="19" s="1"/>
  <c r="AD36" i="19"/>
  <c r="AC36" i="19"/>
  <c r="AT35" i="19"/>
  <c r="AU35" i="19" s="1"/>
  <c r="AM35" i="19"/>
  <c r="AD35" i="19"/>
  <c r="AC35" i="19"/>
  <c r="AT34" i="19"/>
  <c r="AU34" i="19" s="1"/>
  <c r="AM34" i="19"/>
  <c r="AN34" i="19" s="1"/>
  <c r="AD34" i="19"/>
  <c r="AC34" i="19"/>
  <c r="AT33" i="19"/>
  <c r="AU33" i="19" s="1"/>
  <c r="AM33" i="19"/>
  <c r="AD33" i="19"/>
  <c r="AC33" i="19"/>
  <c r="AT31" i="19"/>
  <c r="AU31" i="19" s="1"/>
  <c r="AM31" i="19"/>
  <c r="AN31" i="19" s="1"/>
  <c r="AT30" i="19"/>
  <c r="AU30" i="19" s="1"/>
  <c r="AM30" i="19"/>
  <c r="AN30" i="19" s="1"/>
  <c r="AT29" i="19"/>
  <c r="AM29" i="19"/>
  <c r="AT28" i="19"/>
  <c r="AU28" i="19" s="1"/>
  <c r="AM28" i="19"/>
  <c r="AT27" i="19"/>
  <c r="AU27" i="19" s="1"/>
  <c r="AM27" i="19"/>
  <c r="AN27" i="19" s="1"/>
  <c r="AT26" i="19"/>
  <c r="AU26" i="19" s="1"/>
  <c r="AM26" i="19"/>
  <c r="AT24" i="19"/>
  <c r="AU24" i="19" s="1"/>
  <c r="AM24" i="19"/>
  <c r="AN24" i="19" s="1"/>
  <c r="AD24" i="19"/>
  <c r="AC24" i="19"/>
  <c r="AT23" i="19"/>
  <c r="AU23" i="19" s="1"/>
  <c r="AM23" i="19"/>
  <c r="AN23" i="19" s="1"/>
  <c r="AD23" i="19"/>
  <c r="AC23" i="19"/>
  <c r="AT22" i="19"/>
  <c r="AU22" i="19" s="1"/>
  <c r="AM22" i="19"/>
  <c r="AN22" i="19" s="1"/>
  <c r="AD22" i="19"/>
  <c r="AC22" i="19"/>
  <c r="AT21" i="19"/>
  <c r="AU21" i="19" s="1"/>
  <c r="AM21" i="19"/>
  <c r="AN21" i="19" s="1"/>
  <c r="AD21" i="19"/>
  <c r="AC21" i="19"/>
  <c r="AT20" i="19"/>
  <c r="AU20" i="19" s="1"/>
  <c r="AM20" i="19"/>
  <c r="AN20" i="19" s="1"/>
  <c r="AD20" i="19"/>
  <c r="AC20" i="19"/>
  <c r="AT19" i="19"/>
  <c r="AU19" i="19" s="1"/>
  <c r="AM19" i="19"/>
  <c r="AN19" i="19" s="1"/>
  <c r="AD19" i="19"/>
  <c r="AC19" i="19"/>
  <c r="AT17" i="19"/>
  <c r="AU17" i="19" s="1"/>
  <c r="AM17" i="19"/>
  <c r="AN17" i="19" s="1"/>
  <c r="AD17" i="19"/>
  <c r="AC17" i="19"/>
  <c r="AT16" i="19"/>
  <c r="AU16" i="19" s="1"/>
  <c r="AM16" i="19"/>
  <c r="AN16" i="19" s="1"/>
  <c r="AD16" i="19"/>
  <c r="AC16" i="19"/>
  <c r="AT15" i="19"/>
  <c r="AM15" i="19"/>
  <c r="AN15" i="19" s="1"/>
  <c r="AD15" i="19"/>
  <c r="AC15" i="19"/>
  <c r="AT14" i="19"/>
  <c r="AU14" i="19" s="1"/>
  <c r="AM14" i="19"/>
  <c r="AD14" i="19"/>
  <c r="AC14" i="19"/>
  <c r="AT13" i="19"/>
  <c r="AU13" i="19" s="1"/>
  <c r="AM13" i="19"/>
  <c r="AN13" i="19" s="1"/>
  <c r="AD13" i="19"/>
  <c r="AC13" i="19"/>
  <c r="AT12" i="19"/>
  <c r="AU12" i="19" s="1"/>
  <c r="AM12" i="19"/>
  <c r="AD12" i="19"/>
  <c r="AC12" i="19"/>
  <c r="AN29" i="19" l="1"/>
  <c r="AN26" i="19"/>
  <c r="AN28" i="19"/>
  <c r="AU29" i="19"/>
  <c r="AN33" i="19"/>
  <c r="AN35" i="19"/>
  <c r="AU36" i="19"/>
  <c r="AN12" i="19"/>
  <c r="AN14" i="19"/>
  <c r="AU15" i="19"/>
  <c r="AO119" i="38" l="1"/>
  <c r="AN119" i="38"/>
  <c r="AM119" i="38"/>
  <c r="AJ119" i="38"/>
  <c r="AF119" i="38"/>
  <c r="AE119" i="38"/>
  <c r="AD119" i="38"/>
  <c r="AD120" i="38" s="1"/>
  <c r="AP118" i="38"/>
  <c r="AH118" i="38"/>
  <c r="AG118" i="38"/>
  <c r="AH116" i="38"/>
  <c r="AG116" i="38"/>
  <c r="AI116" i="38" s="1"/>
  <c r="AP88" i="38"/>
  <c r="AH88" i="38"/>
  <c r="AG88" i="38"/>
  <c r="AP87" i="38"/>
  <c r="AH87" i="38"/>
  <c r="AG87" i="38"/>
  <c r="AP76" i="38"/>
  <c r="AH76" i="38"/>
  <c r="AI76" i="38" s="1"/>
  <c r="AG76" i="38"/>
  <c r="AP73" i="38"/>
  <c r="AH73" i="38"/>
  <c r="AG73" i="38"/>
  <c r="AC8" i="38"/>
  <c r="AC7" i="38"/>
  <c r="AP6" i="38"/>
  <c r="AH6" i="38"/>
  <c r="AC6" i="38"/>
  <c r="AG6" i="38" s="1"/>
  <c r="AO119" i="37"/>
  <c r="AN119" i="37"/>
  <c r="AM119" i="37"/>
  <c r="AJ119" i="37"/>
  <c r="AF119" i="37"/>
  <c r="AE119" i="37"/>
  <c r="AD119" i="37"/>
  <c r="AD120" i="37" s="1"/>
  <c r="AC119" i="37"/>
  <c r="AP118" i="37"/>
  <c r="AH118" i="37"/>
  <c r="AG118" i="37"/>
  <c r="AH116" i="37"/>
  <c r="AG116" i="37"/>
  <c r="AI116" i="37" s="1"/>
  <c r="AP88" i="37"/>
  <c r="AH88" i="37"/>
  <c r="AG88" i="37"/>
  <c r="AP87" i="37"/>
  <c r="AH87" i="37"/>
  <c r="AG87" i="37"/>
  <c r="AP76" i="37"/>
  <c r="AH76" i="37"/>
  <c r="AG76" i="37"/>
  <c r="AP73" i="37"/>
  <c r="AH73" i="37"/>
  <c r="AG73" i="37"/>
  <c r="AP6" i="37"/>
  <c r="AH6" i="37"/>
  <c r="AI6" i="37" s="1"/>
  <c r="AG6" i="37"/>
  <c r="AO119" i="36"/>
  <c r="AN119" i="36"/>
  <c r="AM119" i="36"/>
  <c r="AJ119" i="36"/>
  <c r="AF119" i="36"/>
  <c r="AE119" i="36"/>
  <c r="AD119" i="36"/>
  <c r="AD120" i="36" s="1"/>
  <c r="AC119" i="36"/>
  <c r="AP118" i="36"/>
  <c r="AH118" i="36"/>
  <c r="AG118" i="36"/>
  <c r="AI118" i="36" s="1"/>
  <c r="AH116" i="36"/>
  <c r="AG116" i="36"/>
  <c r="AP88" i="36"/>
  <c r="AH88" i="36"/>
  <c r="AI88" i="36" s="1"/>
  <c r="AG88" i="36"/>
  <c r="AP87" i="36"/>
  <c r="AH87" i="36"/>
  <c r="AG87" i="36"/>
  <c r="AP76" i="36"/>
  <c r="AH76" i="36"/>
  <c r="AG76" i="36"/>
  <c r="AP73" i="36"/>
  <c r="AH73" i="36"/>
  <c r="AG73" i="36"/>
  <c r="AP6" i="36"/>
  <c r="AH6" i="36"/>
  <c r="AI6" i="36" s="1"/>
  <c r="AG6" i="36"/>
  <c r="AG119" i="37" l="1"/>
  <c r="AI87" i="36"/>
  <c r="AH119" i="37"/>
  <c r="B124" i="26"/>
  <c r="AP119" i="36"/>
  <c r="AP119" i="37"/>
  <c r="AI87" i="37"/>
  <c r="AP119" i="38"/>
  <c r="AI76" i="36"/>
  <c r="AI76" i="37"/>
  <c r="AI73" i="36"/>
  <c r="AI116" i="36"/>
  <c r="AI73" i="37"/>
  <c r="AI88" i="37"/>
  <c r="AC119" i="38"/>
  <c r="AI118" i="38"/>
  <c r="AH119" i="38"/>
  <c r="AG119" i="38"/>
  <c r="AI88" i="38"/>
  <c r="AI73" i="38"/>
  <c r="AI87" i="38"/>
  <c r="AI6" i="38"/>
  <c r="AI118" i="37"/>
  <c r="AI119" i="37" s="1"/>
  <c r="AG119" i="36"/>
  <c r="AH119" i="36"/>
  <c r="AI119" i="36" l="1"/>
  <c r="AI119" i="38"/>
  <c r="BF67" i="19"/>
  <c r="BF68" i="19" s="1"/>
  <c r="BD60" i="19"/>
  <c r="BD61" i="19"/>
  <c r="BD62" i="19"/>
  <c r="BD63" i="19"/>
  <c r="BD64" i="19"/>
  <c r="BD65" i="19"/>
  <c r="E36" i="17" l="1"/>
  <c r="A31" i="35" l="1"/>
  <c r="A29" i="35"/>
  <c r="A27" i="35"/>
  <c r="A25" i="35"/>
  <c r="A21" i="35"/>
  <c r="A24" i="35"/>
  <c r="A23" i="35"/>
  <c r="A18" i="35"/>
  <c r="A20" i="35"/>
  <c r="A22" i="35"/>
  <c r="A16" i="35"/>
  <c r="A19" i="35"/>
  <c r="A11" i="35"/>
  <c r="A12" i="35"/>
  <c r="A7" i="35"/>
  <c r="A5" i="35"/>
  <c r="A15" i="35"/>
  <c r="A6" i="35"/>
  <c r="A4" i="35"/>
  <c r="A14" i="35"/>
  <c r="R36" i="33" l="1"/>
  <c r="V426" i="33"/>
  <c r="V427" i="33"/>
  <c r="V428" i="33"/>
  <c r="V429" i="33"/>
  <c r="V430" i="33"/>
  <c r="V431" i="33"/>
  <c r="V432" i="33"/>
  <c r="V433" i="33"/>
  <c r="V434" i="33"/>
  <c r="V435" i="33"/>
  <c r="V436" i="33"/>
  <c r="V437" i="33"/>
  <c r="V438" i="33"/>
  <c r="V354" i="33"/>
  <c r="V368" i="33" s="1"/>
  <c r="V382" i="33" s="1"/>
  <c r="V355" i="33"/>
  <c r="V369" i="33" s="1"/>
  <c r="V383" i="33" s="1"/>
  <c r="V356" i="33"/>
  <c r="V370" i="33" s="1"/>
  <c r="V384" i="33" s="1"/>
  <c r="V357" i="33"/>
  <c r="V371" i="33" s="1"/>
  <c r="V385" i="33" s="1"/>
  <c r="V358" i="33"/>
  <c r="V372" i="33" s="1"/>
  <c r="V386" i="33" s="1"/>
  <c r="V359" i="33"/>
  <c r="V373" i="33" s="1"/>
  <c r="V387" i="33" s="1"/>
  <c r="V360" i="33"/>
  <c r="V374" i="33" s="1"/>
  <c r="V388" i="33" s="1"/>
  <c r="V361" i="33"/>
  <c r="V375" i="33" s="1"/>
  <c r="V389" i="33" s="1"/>
  <c r="V362" i="33"/>
  <c r="V376" i="33" s="1"/>
  <c r="V390" i="33" s="1"/>
  <c r="V363" i="33"/>
  <c r="V377" i="33" s="1"/>
  <c r="V391" i="33" s="1"/>
  <c r="V364" i="33"/>
  <c r="V378" i="33" s="1"/>
  <c r="V392" i="33" s="1"/>
  <c r="V365" i="33"/>
  <c r="V379" i="33" s="1"/>
  <c r="V393" i="33" s="1"/>
  <c r="V366" i="33"/>
  <c r="V380" i="33" s="1"/>
  <c r="V296" i="33"/>
  <c r="V310" i="33" s="1"/>
  <c r="V324" i="33" s="1"/>
  <c r="V297" i="33"/>
  <c r="V311" i="33" s="1"/>
  <c r="V325" i="33" s="1"/>
  <c r="V298" i="33"/>
  <c r="V312" i="33" s="1"/>
  <c r="V326" i="33" s="1"/>
  <c r="V299" i="33"/>
  <c r="V313" i="33" s="1"/>
  <c r="V327" i="33" s="1"/>
  <c r="V300" i="33"/>
  <c r="V314" i="33" s="1"/>
  <c r="V328" i="33" s="1"/>
  <c r="V301" i="33"/>
  <c r="V315" i="33" s="1"/>
  <c r="V329" i="33" s="1"/>
  <c r="V302" i="33"/>
  <c r="V316" i="33" s="1"/>
  <c r="V330" i="33" s="1"/>
  <c r="V303" i="33"/>
  <c r="V317" i="33" s="1"/>
  <c r="V331" i="33" s="1"/>
  <c r="V304" i="33"/>
  <c r="V318" i="33" s="1"/>
  <c r="V332" i="33" s="1"/>
  <c r="V305" i="33"/>
  <c r="V319" i="33" s="1"/>
  <c r="V333" i="33" s="1"/>
  <c r="V306" i="33"/>
  <c r="V320" i="33" s="1"/>
  <c r="V334" i="33" s="1"/>
  <c r="V307" i="33"/>
  <c r="V321" i="33" s="1"/>
  <c r="V335" i="33" s="1"/>
  <c r="V308" i="33"/>
  <c r="V322" i="33" s="1"/>
  <c r="V336" i="33" s="1"/>
  <c r="V323" i="33" s="1"/>
  <c r="V36" i="24" s="1"/>
  <c r="V196" i="33"/>
  <c r="V197" i="33"/>
  <c r="V198" i="33"/>
  <c r="V199" i="33"/>
  <c r="V200" i="33"/>
  <c r="V201" i="33"/>
  <c r="V202" i="33"/>
  <c r="V203" i="33"/>
  <c r="V204" i="33"/>
  <c r="V205" i="33"/>
  <c r="V206" i="33"/>
  <c r="V207" i="33"/>
  <c r="V208" i="33"/>
  <c r="V96" i="33"/>
  <c r="V97" i="33"/>
  <c r="V98" i="33"/>
  <c r="V99" i="33"/>
  <c r="V100" i="33"/>
  <c r="V101" i="33"/>
  <c r="V102" i="33"/>
  <c r="V103" i="33"/>
  <c r="V104" i="33"/>
  <c r="V105" i="33"/>
  <c r="V106" i="33"/>
  <c r="V107" i="33"/>
  <c r="V108" i="33"/>
  <c r="V122" i="33" s="1"/>
  <c r="P196" i="33"/>
  <c r="P197" i="33"/>
  <c r="P198" i="33"/>
  <c r="P199" i="33"/>
  <c r="P200" i="33"/>
  <c r="P201" i="33"/>
  <c r="P202" i="33"/>
  <c r="P203" i="33"/>
  <c r="P204" i="33"/>
  <c r="P205" i="33"/>
  <c r="P206" i="33"/>
  <c r="P207" i="33"/>
  <c r="P208" i="33"/>
  <c r="R96" i="33"/>
  <c r="R97" i="33"/>
  <c r="R98" i="33"/>
  <c r="R99" i="33"/>
  <c r="R100" i="33"/>
  <c r="R101" i="33"/>
  <c r="R102" i="33"/>
  <c r="R103" i="33"/>
  <c r="R104" i="33"/>
  <c r="R105" i="33"/>
  <c r="R106" i="33"/>
  <c r="R107" i="33"/>
  <c r="R108" i="33"/>
  <c r="R122" i="33" s="1"/>
  <c r="P96" i="33"/>
  <c r="P97" i="33"/>
  <c r="P98" i="33"/>
  <c r="P99" i="33"/>
  <c r="P100" i="33"/>
  <c r="P101" i="33"/>
  <c r="P102" i="33"/>
  <c r="P103" i="33"/>
  <c r="P104" i="33"/>
  <c r="P105" i="33"/>
  <c r="P106" i="33"/>
  <c r="P107" i="33"/>
  <c r="P108" i="33"/>
  <c r="P122" i="33" s="1"/>
  <c r="P150" i="33" s="1"/>
  <c r="P137" i="33" s="1"/>
  <c r="P19" i="24" s="1"/>
  <c r="V24" i="33"/>
  <c r="V25" i="33"/>
  <c r="V26" i="33"/>
  <c r="V27" i="33"/>
  <c r="V28" i="33"/>
  <c r="V29" i="33"/>
  <c r="V30" i="33"/>
  <c r="V31" i="33"/>
  <c r="V32" i="33"/>
  <c r="V33" i="33"/>
  <c r="V34" i="33"/>
  <c r="V35" i="33"/>
  <c r="V36" i="33"/>
  <c r="P24" i="33"/>
  <c r="P66" i="33" s="1"/>
  <c r="P25" i="33"/>
  <c r="P67" i="33" s="1"/>
  <c r="P26" i="33"/>
  <c r="P68" i="33" s="1"/>
  <c r="P27" i="33"/>
  <c r="P69" i="33" s="1"/>
  <c r="P28" i="33"/>
  <c r="P70" i="33" s="1"/>
  <c r="P29" i="33"/>
  <c r="P71" i="33" s="1"/>
  <c r="P30" i="33"/>
  <c r="P72" i="33" s="1"/>
  <c r="P31" i="33"/>
  <c r="P73" i="33" s="1"/>
  <c r="P32" i="33"/>
  <c r="P74" i="33" s="1"/>
  <c r="P33" i="33"/>
  <c r="P75" i="33" s="1"/>
  <c r="P34" i="33"/>
  <c r="P76" i="33" s="1"/>
  <c r="P35" i="33"/>
  <c r="P77" i="33" s="1"/>
  <c r="P36" i="33"/>
  <c r="P78" i="33" s="1"/>
  <c r="P65" i="33" s="1"/>
  <c r="P12" i="24" s="1"/>
  <c r="V367" i="33" l="1"/>
  <c r="V41" i="24" s="1"/>
  <c r="V394" i="33"/>
  <c r="V381" i="33" s="1"/>
  <c r="V42" i="24" s="1"/>
  <c r="R78" i="33"/>
  <c r="R65" i="33" s="1"/>
  <c r="R12" i="24" s="1"/>
  <c r="T150" i="33"/>
  <c r="T137" i="33" s="1"/>
  <c r="T19" i="24" s="1"/>
  <c r="Z150" i="33"/>
  <c r="Z137" i="33" s="1"/>
  <c r="Z19" i="24" s="1"/>
  <c r="AA122" i="33"/>
  <c r="V150" i="33"/>
  <c r="V309" i="33"/>
  <c r="V35" i="24" s="1"/>
  <c r="V72" i="33"/>
  <c r="V71" i="33"/>
  <c r="V78" i="33"/>
  <c r="V65" i="33" s="1"/>
  <c r="V12" i="24" s="1"/>
  <c r="V70" i="33"/>
  <c r="V77" i="33"/>
  <c r="V76" i="33"/>
  <c r="V68" i="33"/>
  <c r="V75" i="33"/>
  <c r="V67" i="33"/>
  <c r="V69" i="33"/>
  <c r="V74" i="33"/>
  <c r="V66" i="33"/>
  <c r="V73" i="33"/>
  <c r="AC122" i="33"/>
  <c r="Y122" i="33"/>
  <c r="Z122" i="33"/>
  <c r="S122" i="33"/>
  <c r="T122" i="33"/>
  <c r="AF2" i="24"/>
  <c r="AG2" i="24"/>
  <c r="AH2" i="24"/>
  <c r="AI2" i="24"/>
  <c r="C47" i="24"/>
  <c r="B47" i="24"/>
  <c r="C46" i="24"/>
  <c r="B46" i="24"/>
  <c r="C39" i="24"/>
  <c r="B39" i="24"/>
  <c r="C33" i="24"/>
  <c r="B33" i="24"/>
  <c r="C24" i="24"/>
  <c r="B24" i="24"/>
  <c r="E410" i="33"/>
  <c r="E411" i="33"/>
  <c r="E412" i="33"/>
  <c r="E413" i="33"/>
  <c r="E414" i="33"/>
  <c r="E415" i="33"/>
  <c r="E416" i="33"/>
  <c r="E417" i="33"/>
  <c r="E418" i="33"/>
  <c r="E419" i="33"/>
  <c r="E420" i="33"/>
  <c r="E421" i="33"/>
  <c r="E422" i="33"/>
  <c r="E396" i="33"/>
  <c r="E397" i="33"/>
  <c r="E398" i="33"/>
  <c r="E399" i="33"/>
  <c r="E400" i="33"/>
  <c r="E401" i="33"/>
  <c r="E402" i="33"/>
  <c r="E403" i="33"/>
  <c r="E404" i="33"/>
  <c r="E405" i="33"/>
  <c r="E406" i="33"/>
  <c r="E407" i="33"/>
  <c r="E408" i="33"/>
  <c r="R426" i="33"/>
  <c r="R427" i="33"/>
  <c r="R428" i="33"/>
  <c r="R429" i="33"/>
  <c r="R430" i="33"/>
  <c r="R431" i="33"/>
  <c r="R432" i="33"/>
  <c r="R433" i="33"/>
  <c r="R434" i="33"/>
  <c r="R435" i="33"/>
  <c r="R436" i="33"/>
  <c r="R437" i="33"/>
  <c r="R438" i="33"/>
  <c r="M425" i="33"/>
  <c r="M47" i="24" s="1"/>
  <c r="B424" i="33"/>
  <c r="C424" i="33"/>
  <c r="B425" i="33"/>
  <c r="C425" i="33"/>
  <c r="AA438" i="33"/>
  <c r="F438" i="33"/>
  <c r="AA437" i="33"/>
  <c r="F437" i="33"/>
  <c r="C437" i="33"/>
  <c r="AA436" i="33"/>
  <c r="F436" i="33"/>
  <c r="C436" i="33"/>
  <c r="AA435" i="33"/>
  <c r="F435" i="33"/>
  <c r="C435" i="33"/>
  <c r="AA434" i="33"/>
  <c r="F434" i="33"/>
  <c r="C434" i="33"/>
  <c r="AA433" i="33"/>
  <c r="F433" i="33"/>
  <c r="C433" i="33"/>
  <c r="AA432" i="33"/>
  <c r="F432" i="33"/>
  <c r="C432" i="33"/>
  <c r="AA431" i="33"/>
  <c r="F431" i="33"/>
  <c r="C431" i="33"/>
  <c r="AA430" i="33"/>
  <c r="F430" i="33"/>
  <c r="C430" i="33"/>
  <c r="AA429" i="33"/>
  <c r="F429" i="33"/>
  <c r="C429" i="33"/>
  <c r="AA428" i="33"/>
  <c r="F428" i="33"/>
  <c r="C428" i="33"/>
  <c r="AA427" i="33"/>
  <c r="F427" i="33"/>
  <c r="C427" i="33"/>
  <c r="AA426" i="33"/>
  <c r="F426" i="33"/>
  <c r="C426" i="33"/>
  <c r="D425" i="33"/>
  <c r="D47" i="24" s="1"/>
  <c r="R354" i="33"/>
  <c r="R368" i="33" s="1"/>
  <c r="R382" i="33" s="1"/>
  <c r="R355" i="33"/>
  <c r="R369" i="33" s="1"/>
  <c r="R383" i="33" s="1"/>
  <c r="R356" i="33"/>
  <c r="R370" i="33" s="1"/>
  <c r="R384" i="33" s="1"/>
  <c r="R357" i="33"/>
  <c r="R371" i="33" s="1"/>
  <c r="R385" i="33" s="1"/>
  <c r="R358" i="33"/>
  <c r="R372" i="33" s="1"/>
  <c r="R386" i="33" s="1"/>
  <c r="R359" i="33"/>
  <c r="R373" i="33" s="1"/>
  <c r="R387" i="33" s="1"/>
  <c r="R360" i="33"/>
  <c r="R374" i="33" s="1"/>
  <c r="R388" i="33" s="1"/>
  <c r="R361" i="33"/>
  <c r="R375" i="33" s="1"/>
  <c r="R389" i="33" s="1"/>
  <c r="R362" i="33"/>
  <c r="R376" i="33" s="1"/>
  <c r="R390" i="33" s="1"/>
  <c r="R363" i="33"/>
  <c r="R377" i="33" s="1"/>
  <c r="R391" i="33" s="1"/>
  <c r="R364" i="33"/>
  <c r="R378" i="33" s="1"/>
  <c r="R392" i="33" s="1"/>
  <c r="R365" i="33"/>
  <c r="R379" i="33" s="1"/>
  <c r="R393" i="33" s="1"/>
  <c r="R366" i="33"/>
  <c r="R380" i="33" s="1"/>
  <c r="N408" i="33"/>
  <c r="N422" i="33" s="1"/>
  <c r="N407" i="33"/>
  <c r="N421" i="33" s="1"/>
  <c r="N406" i="33"/>
  <c r="N420" i="33" s="1"/>
  <c r="N405" i="33"/>
  <c r="N419" i="33" s="1"/>
  <c r="N404" i="33"/>
  <c r="N418" i="33" s="1"/>
  <c r="N403" i="33"/>
  <c r="N417" i="33" s="1"/>
  <c r="N402" i="33"/>
  <c r="N416" i="33" s="1"/>
  <c r="N401" i="33"/>
  <c r="N415" i="33" s="1"/>
  <c r="N400" i="33"/>
  <c r="N414" i="33" s="1"/>
  <c r="N399" i="33"/>
  <c r="N413" i="33" s="1"/>
  <c r="N398" i="33"/>
  <c r="N412" i="33" s="1"/>
  <c r="N397" i="33"/>
  <c r="N411" i="33" s="1"/>
  <c r="N396" i="33"/>
  <c r="N410" i="33" s="1"/>
  <c r="M396" i="33"/>
  <c r="M397" i="33"/>
  <c r="M398" i="33"/>
  <c r="M399" i="33"/>
  <c r="M400" i="33"/>
  <c r="M401" i="33"/>
  <c r="M402" i="33"/>
  <c r="M403" i="33"/>
  <c r="R367" i="33" l="1"/>
  <c r="R41" i="24" s="1"/>
  <c r="R394" i="33"/>
  <c r="R381" i="33" s="1"/>
  <c r="R42" i="24" s="1"/>
  <c r="AA150" i="33"/>
  <c r="AA137" i="33" s="1"/>
  <c r="AA19" i="24" s="1"/>
  <c r="V137" i="33"/>
  <c r="V19" i="24" s="1"/>
  <c r="C29" i="35"/>
  <c r="E31" i="35" s="1"/>
  <c r="E30" i="35" s="1"/>
  <c r="E29" i="35" s="1"/>
  <c r="V425" i="33"/>
  <c r="V47" i="24" s="1"/>
  <c r="E425" i="33"/>
  <c r="E47" i="24" s="1"/>
  <c r="F425" i="33"/>
  <c r="F47" i="24" s="1"/>
  <c r="S437" i="33"/>
  <c r="Z437" i="33"/>
  <c r="AC437" i="33"/>
  <c r="T437" i="33"/>
  <c r="Y437" i="33"/>
  <c r="B352" i="33" l="1"/>
  <c r="C352" i="33"/>
  <c r="V422" i="33"/>
  <c r="AA422" i="33" s="1"/>
  <c r="V421" i="33"/>
  <c r="AA421" i="33" s="1"/>
  <c r="C421" i="33"/>
  <c r="V420" i="33"/>
  <c r="AA420" i="33" s="1"/>
  <c r="C420" i="33"/>
  <c r="V419" i="33"/>
  <c r="AA419" i="33" s="1"/>
  <c r="C419" i="33"/>
  <c r="V418" i="33"/>
  <c r="AA418" i="33" s="1"/>
  <c r="C418" i="33"/>
  <c r="V417" i="33"/>
  <c r="AA417" i="33" s="1"/>
  <c r="C417" i="33"/>
  <c r="V416" i="33"/>
  <c r="AA416" i="33" s="1"/>
  <c r="C416" i="33"/>
  <c r="V415" i="33"/>
  <c r="AA415" i="33" s="1"/>
  <c r="C415" i="33"/>
  <c r="V414" i="33"/>
  <c r="AA414" i="33" s="1"/>
  <c r="C414" i="33"/>
  <c r="V413" i="33"/>
  <c r="AA413" i="33" s="1"/>
  <c r="C413" i="33"/>
  <c r="V412" i="33"/>
  <c r="AA412" i="33" s="1"/>
  <c r="C412" i="33"/>
  <c r="V411" i="33"/>
  <c r="AA411" i="33" s="1"/>
  <c r="C411" i="33"/>
  <c r="V410" i="33"/>
  <c r="AA410" i="33" s="1"/>
  <c r="C410" i="33"/>
  <c r="V408" i="33"/>
  <c r="AA408" i="33" s="1"/>
  <c r="V407" i="33"/>
  <c r="AA407" i="33" s="1"/>
  <c r="C407" i="33"/>
  <c r="V406" i="33"/>
  <c r="C406" i="33"/>
  <c r="V405" i="33"/>
  <c r="C405" i="33"/>
  <c r="V404" i="33"/>
  <c r="AA404" i="33" s="1"/>
  <c r="C404" i="33"/>
  <c r="V403" i="33"/>
  <c r="C403" i="33"/>
  <c r="V402" i="33"/>
  <c r="C402" i="33"/>
  <c r="V401" i="33"/>
  <c r="C401" i="33"/>
  <c r="V400" i="33"/>
  <c r="AA400" i="33" s="1"/>
  <c r="C400" i="33"/>
  <c r="V399" i="33"/>
  <c r="AA399" i="33" s="1"/>
  <c r="C399" i="33"/>
  <c r="V398" i="33"/>
  <c r="AA398" i="33" s="1"/>
  <c r="C398" i="33"/>
  <c r="V397" i="33"/>
  <c r="C397" i="33"/>
  <c r="V396" i="33"/>
  <c r="M410" i="33"/>
  <c r="C396" i="33"/>
  <c r="AA366" i="33"/>
  <c r="AA380" i="33" s="1"/>
  <c r="M408" i="33"/>
  <c r="AA365" i="33"/>
  <c r="AA379" i="33" s="1"/>
  <c r="AA393" i="33" s="1"/>
  <c r="M407" i="33"/>
  <c r="M421" i="33" s="1"/>
  <c r="C365" i="33"/>
  <c r="AA364" i="33"/>
  <c r="AA378" i="33" s="1"/>
  <c r="AA392" i="33" s="1"/>
  <c r="M406" i="33"/>
  <c r="M420" i="33" s="1"/>
  <c r="C364" i="33"/>
  <c r="AA363" i="33"/>
  <c r="AA377" i="33" s="1"/>
  <c r="AA391" i="33" s="1"/>
  <c r="M405" i="33"/>
  <c r="M419" i="33" s="1"/>
  <c r="C363" i="33"/>
  <c r="AA362" i="33"/>
  <c r="AA376" i="33" s="1"/>
  <c r="AA390" i="33" s="1"/>
  <c r="M404" i="33"/>
  <c r="M418" i="33" s="1"/>
  <c r="C362" i="33"/>
  <c r="AA361" i="33"/>
  <c r="AA375" i="33" s="1"/>
  <c r="AA389" i="33" s="1"/>
  <c r="M417" i="33"/>
  <c r="C361" i="33"/>
  <c r="AA360" i="33"/>
  <c r="AA374" i="33" s="1"/>
  <c r="AA388" i="33" s="1"/>
  <c r="M416" i="33"/>
  <c r="C360" i="33"/>
  <c r="AA359" i="33"/>
  <c r="AA373" i="33" s="1"/>
  <c r="AA387" i="33" s="1"/>
  <c r="M415" i="33"/>
  <c r="C359" i="33"/>
  <c r="AA358" i="33"/>
  <c r="AA372" i="33" s="1"/>
  <c r="AA386" i="33" s="1"/>
  <c r="M414" i="33"/>
  <c r="C358" i="33"/>
  <c r="AA357" i="33"/>
  <c r="AA371" i="33" s="1"/>
  <c r="AA385" i="33" s="1"/>
  <c r="M413" i="33"/>
  <c r="C357" i="33"/>
  <c r="AA356" i="33"/>
  <c r="AA370" i="33" s="1"/>
  <c r="AA384" i="33" s="1"/>
  <c r="M412" i="33"/>
  <c r="C356" i="33"/>
  <c r="AA355" i="33"/>
  <c r="AA369" i="33" s="1"/>
  <c r="AA383" i="33" s="1"/>
  <c r="M411" i="33"/>
  <c r="C355" i="33"/>
  <c r="AA354" i="33"/>
  <c r="AA368" i="33" s="1"/>
  <c r="AA382" i="33" s="1"/>
  <c r="C354" i="33"/>
  <c r="AA367" i="33" l="1"/>
  <c r="AA41" i="24" s="1"/>
  <c r="AA394" i="33"/>
  <c r="AA381" i="33" s="1"/>
  <c r="AA42" i="24" s="1"/>
  <c r="M422" i="33"/>
  <c r="AA401" i="33"/>
  <c r="T419" i="33"/>
  <c r="AC363" i="33"/>
  <c r="AC377" i="33" s="1"/>
  <c r="AC391" i="33" s="1"/>
  <c r="T363" i="33"/>
  <c r="T377" i="33" s="1"/>
  <c r="T391" i="33" s="1"/>
  <c r="S363" i="33"/>
  <c r="S377" i="33" s="1"/>
  <c r="S391" i="33" s="1"/>
  <c r="Z363" i="33"/>
  <c r="Z377" i="33" s="1"/>
  <c r="Z391" i="33" s="1"/>
  <c r="Z411" i="33"/>
  <c r="AC355" i="33"/>
  <c r="AC369" i="33" s="1"/>
  <c r="AC383" i="33" s="1"/>
  <c r="T355" i="33"/>
  <c r="T369" i="33" s="1"/>
  <c r="T383" i="33" s="1"/>
  <c r="S355" i="33"/>
  <c r="S369" i="33" s="1"/>
  <c r="S383" i="33" s="1"/>
  <c r="AA396" i="33"/>
  <c r="AA403" i="33"/>
  <c r="AA406" i="33"/>
  <c r="AA402" i="33"/>
  <c r="AA397" i="33"/>
  <c r="AA405" i="33"/>
  <c r="M295" i="33"/>
  <c r="B294" i="33"/>
  <c r="C294" i="33"/>
  <c r="V350" i="33"/>
  <c r="AA350" i="33" s="1"/>
  <c r="V349" i="33"/>
  <c r="C349" i="33"/>
  <c r="V348" i="33"/>
  <c r="C348" i="33"/>
  <c r="V347" i="33"/>
  <c r="C347" i="33"/>
  <c r="V346" i="33"/>
  <c r="C346" i="33"/>
  <c r="V345" i="33"/>
  <c r="AA345" i="33" s="1"/>
  <c r="C345" i="33"/>
  <c r="V344" i="33"/>
  <c r="AA344" i="33" s="1"/>
  <c r="C344" i="33"/>
  <c r="V343" i="33"/>
  <c r="C343" i="33"/>
  <c r="V342" i="33"/>
  <c r="C342" i="33"/>
  <c r="V341" i="33"/>
  <c r="AA341" i="33" s="1"/>
  <c r="C341" i="33"/>
  <c r="V340" i="33"/>
  <c r="C340" i="33"/>
  <c r="V339" i="33"/>
  <c r="C339" i="33"/>
  <c r="V338" i="33"/>
  <c r="C338" i="33"/>
  <c r="AA308" i="33"/>
  <c r="AA322" i="33" s="1"/>
  <c r="AA336" i="33" s="1"/>
  <c r="AA323" i="33" s="1"/>
  <c r="AA36" i="24" s="1"/>
  <c r="AA307" i="33"/>
  <c r="AA321" i="33" s="1"/>
  <c r="C307" i="33"/>
  <c r="AA306" i="33"/>
  <c r="AA320" i="33" s="1"/>
  <c r="C306" i="33"/>
  <c r="AA305" i="33"/>
  <c r="AA319" i="33" s="1"/>
  <c r="C305" i="33"/>
  <c r="AA304" i="33"/>
  <c r="AA318" i="33" s="1"/>
  <c r="C304" i="33"/>
  <c r="AA303" i="33"/>
  <c r="AA317" i="33" s="1"/>
  <c r="C303" i="33"/>
  <c r="AA302" i="33"/>
  <c r="AA316" i="33" s="1"/>
  <c r="C302" i="33"/>
  <c r="AA301" i="33"/>
  <c r="AA315" i="33" s="1"/>
  <c r="C301" i="33"/>
  <c r="AA300" i="33"/>
  <c r="AA314" i="33" s="1"/>
  <c r="C300" i="33"/>
  <c r="AA299" i="33"/>
  <c r="AA313" i="33" s="1"/>
  <c r="C299" i="33"/>
  <c r="AA298" i="33"/>
  <c r="AA312" i="33" s="1"/>
  <c r="C298" i="33"/>
  <c r="AA297" i="33"/>
  <c r="AA311" i="33" s="1"/>
  <c r="C297" i="33"/>
  <c r="AA296" i="33"/>
  <c r="AA310" i="33" s="1"/>
  <c r="C296" i="33"/>
  <c r="R196" i="33"/>
  <c r="R210" i="33" s="1"/>
  <c r="R197" i="33"/>
  <c r="R267" i="33" s="1"/>
  <c r="Z267" i="33" s="1"/>
  <c r="R198" i="33"/>
  <c r="T198" i="33" s="1"/>
  <c r="R199" i="33"/>
  <c r="R200" i="33"/>
  <c r="R201" i="33"/>
  <c r="R202" i="33"/>
  <c r="R203" i="33"/>
  <c r="R204" i="33"/>
  <c r="R205" i="33"/>
  <c r="R405" i="33" s="1"/>
  <c r="R206" i="33"/>
  <c r="T206" i="33" s="1"/>
  <c r="R207" i="33"/>
  <c r="Y207" i="33" s="1"/>
  <c r="R208" i="33"/>
  <c r="T236" i="33" s="1"/>
  <c r="B194" i="33"/>
  <c r="C194" i="33"/>
  <c r="C291" i="33"/>
  <c r="C290" i="33"/>
  <c r="C289" i="33"/>
  <c r="C288" i="33"/>
  <c r="C287" i="33"/>
  <c r="C286" i="33"/>
  <c r="C285" i="33"/>
  <c r="C284" i="33"/>
  <c r="C283" i="33"/>
  <c r="C282" i="33"/>
  <c r="C281" i="33"/>
  <c r="C280" i="33"/>
  <c r="V278" i="33"/>
  <c r="P278" i="33"/>
  <c r="V277" i="33"/>
  <c r="AA277" i="33" s="1"/>
  <c r="P277" i="33"/>
  <c r="C277" i="33"/>
  <c r="V276" i="33"/>
  <c r="AA276" i="33" s="1"/>
  <c r="P276" i="33"/>
  <c r="C276" i="33"/>
  <c r="V275" i="33"/>
  <c r="AA275" i="33" s="1"/>
  <c r="P275" i="33"/>
  <c r="C275" i="33"/>
  <c r="V274" i="33"/>
  <c r="AA274" i="33" s="1"/>
  <c r="P274" i="33"/>
  <c r="C274" i="33"/>
  <c r="V273" i="33"/>
  <c r="AA273" i="33" s="1"/>
  <c r="P273" i="33"/>
  <c r="C273" i="33"/>
  <c r="V272" i="33"/>
  <c r="AA272" i="33" s="1"/>
  <c r="P272" i="33"/>
  <c r="C272" i="33"/>
  <c r="V271" i="33"/>
  <c r="AA271" i="33" s="1"/>
  <c r="P271" i="33"/>
  <c r="C271" i="33"/>
  <c r="V270" i="33"/>
  <c r="AA270" i="33" s="1"/>
  <c r="P270" i="33"/>
  <c r="C270" i="33"/>
  <c r="V269" i="33"/>
  <c r="AA269" i="33" s="1"/>
  <c r="P269" i="33"/>
  <c r="C269" i="33"/>
  <c r="V268" i="33"/>
  <c r="AA268" i="33" s="1"/>
  <c r="P268" i="33"/>
  <c r="C268" i="33"/>
  <c r="V267" i="33"/>
  <c r="AA267" i="33" s="1"/>
  <c r="P267" i="33"/>
  <c r="C267" i="33"/>
  <c r="V266" i="33"/>
  <c r="AA266" i="33" s="1"/>
  <c r="P266" i="33"/>
  <c r="C266" i="33"/>
  <c r="V236" i="33"/>
  <c r="P236" i="33"/>
  <c r="P264" i="33" s="1"/>
  <c r="P251" i="33" s="1"/>
  <c r="P29" i="24" s="1"/>
  <c r="V235" i="33"/>
  <c r="P235" i="33"/>
  <c r="P263" i="33" s="1"/>
  <c r="C235" i="33"/>
  <c r="V234" i="33"/>
  <c r="P234" i="33"/>
  <c r="P262" i="33" s="1"/>
  <c r="C234" i="33"/>
  <c r="V233" i="33"/>
  <c r="P233" i="33"/>
  <c r="P261" i="33" s="1"/>
  <c r="C233" i="33"/>
  <c r="V232" i="33"/>
  <c r="P232" i="33"/>
  <c r="P260" i="33" s="1"/>
  <c r="C232" i="33"/>
  <c r="V231" i="33"/>
  <c r="P231" i="33"/>
  <c r="P259" i="33" s="1"/>
  <c r="C231" i="33"/>
  <c r="V230" i="33"/>
  <c r="P230" i="33"/>
  <c r="P258" i="33" s="1"/>
  <c r="C230" i="33"/>
  <c r="V229" i="33"/>
  <c r="P229" i="33"/>
  <c r="P257" i="33" s="1"/>
  <c r="C229" i="33"/>
  <c r="V228" i="33"/>
  <c r="P228" i="33"/>
  <c r="P256" i="33" s="1"/>
  <c r="C228" i="33"/>
  <c r="V227" i="33"/>
  <c r="P227" i="33"/>
  <c r="P255" i="33" s="1"/>
  <c r="C227" i="33"/>
  <c r="V226" i="33"/>
  <c r="P226" i="33"/>
  <c r="P254" i="33" s="1"/>
  <c r="C226" i="33"/>
  <c r="V225" i="33"/>
  <c r="P225" i="33"/>
  <c r="P253" i="33" s="1"/>
  <c r="C225" i="33"/>
  <c r="V224" i="33"/>
  <c r="P224" i="33"/>
  <c r="P252" i="33" s="1"/>
  <c r="C224" i="33"/>
  <c r="V222" i="33"/>
  <c r="P222" i="33"/>
  <c r="V221" i="33"/>
  <c r="P221" i="33"/>
  <c r="C221" i="33"/>
  <c r="V220" i="33"/>
  <c r="P220" i="33"/>
  <c r="C220" i="33"/>
  <c r="V219" i="33"/>
  <c r="P219" i="33"/>
  <c r="C219" i="33"/>
  <c r="V218" i="33"/>
  <c r="P218" i="33"/>
  <c r="C218" i="33"/>
  <c r="V217" i="33"/>
  <c r="P217" i="33"/>
  <c r="C217" i="33"/>
  <c r="V216" i="33"/>
  <c r="P216" i="33"/>
  <c r="C216" i="33"/>
  <c r="V215" i="33"/>
  <c r="P215" i="33"/>
  <c r="C215" i="33"/>
  <c r="V214" i="33"/>
  <c r="P214" i="33"/>
  <c r="C214" i="33"/>
  <c r="V213" i="33"/>
  <c r="P213" i="33"/>
  <c r="C213" i="33"/>
  <c r="V212" i="33"/>
  <c r="P212" i="33"/>
  <c r="C212" i="33"/>
  <c r="V211" i="33"/>
  <c r="P211" i="33"/>
  <c r="C211" i="33"/>
  <c r="V210" i="33"/>
  <c r="P210" i="33"/>
  <c r="C210" i="33"/>
  <c r="AA208" i="33"/>
  <c r="AA207" i="33"/>
  <c r="C207" i="33"/>
  <c r="AA206" i="33"/>
  <c r="C206" i="33"/>
  <c r="AA205" i="33"/>
  <c r="C205" i="33"/>
  <c r="AA204" i="33"/>
  <c r="C204" i="33"/>
  <c r="AA203" i="33"/>
  <c r="C203" i="33"/>
  <c r="AA202" i="33"/>
  <c r="C202" i="33"/>
  <c r="AA201" i="33"/>
  <c r="C201" i="33"/>
  <c r="AA200" i="33"/>
  <c r="C200" i="33"/>
  <c r="AA199" i="33"/>
  <c r="C199" i="33"/>
  <c r="AA198" i="33"/>
  <c r="C198" i="33"/>
  <c r="AA197" i="33"/>
  <c r="C197" i="33"/>
  <c r="AA196" i="33"/>
  <c r="C196" i="33"/>
  <c r="M34" i="24" l="1"/>
  <c r="AA335" i="33"/>
  <c r="AA324" i="33"/>
  <c r="AA328" i="33"/>
  <c r="AA332" i="33"/>
  <c r="AA327" i="33"/>
  <c r="AA333" i="33"/>
  <c r="AA329" i="33"/>
  <c r="AA326" i="33"/>
  <c r="AA330" i="33"/>
  <c r="AA334" i="33"/>
  <c r="AA331" i="33"/>
  <c r="AA325" i="33"/>
  <c r="AA309" i="33"/>
  <c r="AA35" i="24" s="1"/>
  <c r="AA231" i="33"/>
  <c r="V259" i="33"/>
  <c r="AA259" i="33" s="1"/>
  <c r="AA226" i="33"/>
  <c r="V254" i="33"/>
  <c r="AA254" i="33" s="1"/>
  <c r="AA234" i="33"/>
  <c r="V262" i="33"/>
  <c r="AA262" i="33" s="1"/>
  <c r="AA227" i="33"/>
  <c r="V255" i="33"/>
  <c r="AA255" i="33" s="1"/>
  <c r="AA235" i="33"/>
  <c r="V263" i="33"/>
  <c r="AA263" i="33" s="1"/>
  <c r="AA229" i="33"/>
  <c r="V257" i="33"/>
  <c r="AA257" i="33" s="1"/>
  <c r="AA224" i="33"/>
  <c r="V252" i="33"/>
  <c r="AA252" i="33" s="1"/>
  <c r="AA230" i="33"/>
  <c r="V258" i="33"/>
  <c r="AA258" i="33" s="1"/>
  <c r="AA228" i="33"/>
  <c r="V256" i="33"/>
  <c r="AA256" i="33" s="1"/>
  <c r="AA232" i="33"/>
  <c r="V260" i="33"/>
  <c r="AA260" i="33" s="1"/>
  <c r="AA225" i="33"/>
  <c r="V253" i="33"/>
  <c r="AA253" i="33" s="1"/>
  <c r="AA233" i="33"/>
  <c r="V261" i="33"/>
  <c r="AA261" i="33" s="1"/>
  <c r="AA236" i="33"/>
  <c r="V264" i="33"/>
  <c r="V251" i="33" s="1"/>
  <c r="V29" i="24" s="1"/>
  <c r="Z210" i="33"/>
  <c r="Z238" i="33"/>
  <c r="T238" i="33"/>
  <c r="V281" i="33"/>
  <c r="AA281" i="33" s="1"/>
  <c r="V239" i="33"/>
  <c r="AA239" i="33" s="1"/>
  <c r="P284" i="33"/>
  <c r="P358" i="33" s="1"/>
  <c r="P372" i="33" s="1"/>
  <c r="P386" i="33" s="1"/>
  <c r="P242" i="33"/>
  <c r="V289" i="33"/>
  <c r="AA289" i="33" s="1"/>
  <c r="V247" i="33"/>
  <c r="AA247" i="33" s="1"/>
  <c r="AA222" i="33"/>
  <c r="V250" i="33"/>
  <c r="V237" i="33" s="1"/>
  <c r="V28" i="24" s="1"/>
  <c r="AA214" i="33"/>
  <c r="V242" i="33"/>
  <c r="AA242" i="33" s="1"/>
  <c r="P287" i="33"/>
  <c r="P433" i="33" s="1"/>
  <c r="P245" i="33"/>
  <c r="V287" i="33"/>
  <c r="AA287" i="33" s="1"/>
  <c r="V245" i="33"/>
  <c r="AA245" i="33" s="1"/>
  <c r="AA212" i="33"/>
  <c r="V240" i="33"/>
  <c r="AA240" i="33" s="1"/>
  <c r="P280" i="33"/>
  <c r="P296" i="33" s="1"/>
  <c r="P238" i="33"/>
  <c r="V285" i="33"/>
  <c r="AA285" i="33" s="1"/>
  <c r="V243" i="33"/>
  <c r="AA243" i="33" s="1"/>
  <c r="P288" i="33"/>
  <c r="P304" i="33" s="1"/>
  <c r="P246" i="33"/>
  <c r="P281" i="33"/>
  <c r="P297" i="33" s="1"/>
  <c r="P239" i="33"/>
  <c r="AA216" i="33"/>
  <c r="V244" i="33"/>
  <c r="AA244" i="33" s="1"/>
  <c r="P292" i="33"/>
  <c r="P308" i="33" s="1"/>
  <c r="P250" i="33"/>
  <c r="P237" i="33" s="1"/>
  <c r="P28" i="24" s="1"/>
  <c r="P282" i="33"/>
  <c r="P356" i="33" s="1"/>
  <c r="P370" i="33" s="1"/>
  <c r="P384" i="33" s="1"/>
  <c r="P240" i="33"/>
  <c r="P290" i="33"/>
  <c r="P436" i="33" s="1"/>
  <c r="P248" i="33"/>
  <c r="P285" i="33"/>
  <c r="P301" i="33" s="1"/>
  <c r="P243" i="33"/>
  <c r="AA220" i="33"/>
  <c r="V248" i="33"/>
  <c r="AA248" i="33" s="1"/>
  <c r="V280" i="33"/>
  <c r="AA280" i="33" s="1"/>
  <c r="V238" i="33"/>
  <c r="AA238" i="33" s="1"/>
  <c r="P283" i="33"/>
  <c r="P429" i="33" s="1"/>
  <c r="P241" i="33"/>
  <c r="AA218" i="33"/>
  <c r="V246" i="33"/>
  <c r="AA246" i="33" s="1"/>
  <c r="P291" i="33"/>
  <c r="P365" i="33" s="1"/>
  <c r="P379" i="33" s="1"/>
  <c r="P393" i="33" s="1"/>
  <c r="P249" i="33"/>
  <c r="P289" i="33"/>
  <c r="P363" i="33" s="1"/>
  <c r="P377" i="33" s="1"/>
  <c r="P391" i="33" s="1"/>
  <c r="P247" i="33"/>
  <c r="V283" i="33"/>
  <c r="AA283" i="33" s="1"/>
  <c r="V241" i="33"/>
  <c r="AA241" i="33" s="1"/>
  <c r="P286" i="33"/>
  <c r="P302" i="33" s="1"/>
  <c r="P244" i="33"/>
  <c r="V291" i="33"/>
  <c r="AA291" i="33" s="1"/>
  <c r="V249" i="33"/>
  <c r="AA249" i="33" s="1"/>
  <c r="AC206" i="33"/>
  <c r="R220" i="33"/>
  <c r="T220" i="33" s="1"/>
  <c r="R268" i="33"/>
  <c r="Y268" i="33" s="1"/>
  <c r="M395" i="33"/>
  <c r="M43" i="24" s="1"/>
  <c r="E409" i="33"/>
  <c r="E44" i="24" s="1"/>
  <c r="D337" i="33"/>
  <c r="D37" i="24" s="1"/>
  <c r="D409" i="33"/>
  <c r="D44" i="24" s="1"/>
  <c r="V409" i="33"/>
  <c r="V44" i="24" s="1"/>
  <c r="E295" i="33"/>
  <c r="E337" i="33"/>
  <c r="E37" i="24" s="1"/>
  <c r="D395" i="33"/>
  <c r="D43" i="24" s="1"/>
  <c r="V395" i="33"/>
  <c r="V43" i="24" s="1"/>
  <c r="F337" i="33"/>
  <c r="F37" i="24" s="1"/>
  <c r="E395" i="33"/>
  <c r="E43" i="24" s="1"/>
  <c r="N337" i="33"/>
  <c r="N37" i="24" s="1"/>
  <c r="M353" i="33"/>
  <c r="R275" i="33"/>
  <c r="AC275" i="33" s="1"/>
  <c r="T225" i="33"/>
  <c r="Z197" i="33"/>
  <c r="S205" i="33"/>
  <c r="Z225" i="33"/>
  <c r="T233" i="33"/>
  <c r="Z205" i="33"/>
  <c r="Y197" i="33"/>
  <c r="T205" i="33"/>
  <c r="AC205" i="33"/>
  <c r="S197" i="33"/>
  <c r="R211" i="33"/>
  <c r="Z233" i="33"/>
  <c r="Y205" i="33"/>
  <c r="T197" i="33"/>
  <c r="AC197" i="33"/>
  <c r="R219" i="33"/>
  <c r="M409" i="33"/>
  <c r="M44" i="24" s="1"/>
  <c r="V353" i="33"/>
  <c r="F295" i="33"/>
  <c r="D353" i="33"/>
  <c r="N295" i="33"/>
  <c r="E353" i="33"/>
  <c r="Z232" i="33"/>
  <c r="Z228" i="33"/>
  <c r="R269" i="33"/>
  <c r="Z269" i="33" s="1"/>
  <c r="Z355" i="33"/>
  <c r="Z369" i="33" s="1"/>
  <c r="Z383" i="33" s="1"/>
  <c r="Y355" i="33"/>
  <c r="Y369" i="33" s="1"/>
  <c r="Y383" i="33" s="1"/>
  <c r="Y363" i="33"/>
  <c r="Y377" i="33" s="1"/>
  <c r="Y391" i="33" s="1"/>
  <c r="R273" i="33"/>
  <c r="Y273" i="33" s="1"/>
  <c r="Y204" i="33"/>
  <c r="Z230" i="33"/>
  <c r="Z201" i="33"/>
  <c r="R397" i="33"/>
  <c r="T397" i="33" s="1"/>
  <c r="T411" i="33"/>
  <c r="Z419" i="33"/>
  <c r="R266" i="33"/>
  <c r="AC266" i="33" s="1"/>
  <c r="Z236" i="33"/>
  <c r="R221" i="33"/>
  <c r="R276" i="33"/>
  <c r="Y276" i="33" s="1"/>
  <c r="Y198" i="33"/>
  <c r="R419" i="33"/>
  <c r="T405" i="33"/>
  <c r="S405" i="33"/>
  <c r="AC405" i="33"/>
  <c r="Z405" i="33"/>
  <c r="Y405" i="33"/>
  <c r="T201" i="33"/>
  <c r="Z226" i="33"/>
  <c r="R212" i="33"/>
  <c r="V337" i="33"/>
  <c r="V37" i="24" s="1"/>
  <c r="D295" i="33"/>
  <c r="V295" i="33"/>
  <c r="C27" i="35"/>
  <c r="T204" i="33"/>
  <c r="R218" i="33"/>
  <c r="Z224" i="33"/>
  <c r="Y196" i="33"/>
  <c r="Z196" i="33"/>
  <c r="Z200" i="33"/>
  <c r="T203" i="33"/>
  <c r="AC203" i="33"/>
  <c r="S208" i="33"/>
  <c r="R217" i="33"/>
  <c r="Z231" i="33"/>
  <c r="M337" i="33"/>
  <c r="M37" i="24" s="1"/>
  <c r="Z204" i="33"/>
  <c r="L296" i="33"/>
  <c r="L310" i="33" s="1"/>
  <c r="T196" i="33"/>
  <c r="AC196" i="33"/>
  <c r="T224" i="33"/>
  <c r="T232" i="33"/>
  <c r="Y203" i="33"/>
  <c r="S204" i="33"/>
  <c r="T228" i="33"/>
  <c r="R274" i="33"/>
  <c r="S196" i="33"/>
  <c r="Z203" i="33"/>
  <c r="AC204" i="33"/>
  <c r="T231" i="33"/>
  <c r="S203" i="33"/>
  <c r="R222" i="33"/>
  <c r="T230" i="33"/>
  <c r="AC201" i="33"/>
  <c r="S206" i="33"/>
  <c r="Y202" i="33"/>
  <c r="Z202" i="33"/>
  <c r="Y199" i="33"/>
  <c r="Z234" i="33"/>
  <c r="R272" i="33"/>
  <c r="T272" i="33" s="1"/>
  <c r="AC198" i="33"/>
  <c r="S202" i="33"/>
  <c r="Z229" i="33"/>
  <c r="S198" i="33"/>
  <c r="T202" i="33"/>
  <c r="AC202" i="33"/>
  <c r="AA340" i="33"/>
  <c r="AA343" i="33"/>
  <c r="AA348" i="33"/>
  <c r="AA349" i="33"/>
  <c r="AA339" i="33"/>
  <c r="AA347" i="33"/>
  <c r="AA338" i="33"/>
  <c r="AA346" i="33"/>
  <c r="AA342" i="33"/>
  <c r="AC208" i="33"/>
  <c r="R270" i="33"/>
  <c r="Z198" i="33"/>
  <c r="T199" i="33"/>
  <c r="AC199" i="33"/>
  <c r="Z206" i="33"/>
  <c r="T207" i="33"/>
  <c r="AC207" i="33"/>
  <c r="Y208" i="33"/>
  <c r="Z227" i="33"/>
  <c r="T229" i="33"/>
  <c r="Z235" i="33"/>
  <c r="S200" i="33"/>
  <c r="R214" i="33"/>
  <c r="T200" i="33"/>
  <c r="Y200" i="33"/>
  <c r="S201" i="33"/>
  <c r="Z208" i="33"/>
  <c r="R215" i="33"/>
  <c r="T226" i="33"/>
  <c r="T234" i="33"/>
  <c r="R278" i="33"/>
  <c r="Z278" i="33" s="1"/>
  <c r="R271" i="33"/>
  <c r="T271" i="33" s="1"/>
  <c r="T208" i="33"/>
  <c r="R277" i="33"/>
  <c r="Z199" i="33"/>
  <c r="AC200" i="33"/>
  <c r="Y201" i="33"/>
  <c r="R216" i="33"/>
  <c r="T227" i="33"/>
  <c r="T235" i="33"/>
  <c r="Z207" i="33"/>
  <c r="S199" i="33"/>
  <c r="Y206" i="33"/>
  <c r="S207" i="33"/>
  <c r="R213" i="33"/>
  <c r="V288" i="33"/>
  <c r="AA288" i="33" s="1"/>
  <c r="AA211" i="33"/>
  <c r="AA215" i="33"/>
  <c r="AA221" i="33"/>
  <c r="V284" i="33"/>
  <c r="AA284" i="33" s="1"/>
  <c r="AA219" i="33"/>
  <c r="AA213" i="33"/>
  <c r="V282" i="33"/>
  <c r="AA282" i="33" s="1"/>
  <c r="AA210" i="33"/>
  <c r="AA217" i="33"/>
  <c r="V286" i="33"/>
  <c r="AA286" i="33" s="1"/>
  <c r="Y210" i="33"/>
  <c r="AA278" i="33"/>
  <c r="R224" i="33"/>
  <c r="T210" i="33"/>
  <c r="AC267" i="33"/>
  <c r="T267" i="33"/>
  <c r="Y267" i="33"/>
  <c r="R280" i="33"/>
  <c r="AC210" i="33"/>
  <c r="S210" i="33"/>
  <c r="V292" i="33"/>
  <c r="S267" i="33"/>
  <c r="V290" i="33"/>
  <c r="AA290" i="33" s="1"/>
  <c r="M40" i="24" l="1"/>
  <c r="E40" i="24"/>
  <c r="D40" i="24"/>
  <c r="V40" i="24"/>
  <c r="V34" i="24"/>
  <c r="N34" i="24"/>
  <c r="P316" i="33"/>
  <c r="P330" i="33" s="1"/>
  <c r="P315" i="33"/>
  <c r="P329" i="33" s="1"/>
  <c r="P310" i="33"/>
  <c r="P324" i="33" s="1"/>
  <c r="P311" i="33"/>
  <c r="P325" i="33" s="1"/>
  <c r="F34" i="24"/>
  <c r="D34" i="24"/>
  <c r="E34" i="24"/>
  <c r="P318" i="33"/>
  <c r="P332" i="33" s="1"/>
  <c r="S220" i="33"/>
  <c r="L324" i="33"/>
  <c r="L306" i="33"/>
  <c r="L320" i="33" s="1"/>
  <c r="AC220" i="33"/>
  <c r="P427" i="33"/>
  <c r="R234" i="33"/>
  <c r="Y234" i="33" s="1"/>
  <c r="P305" i="33"/>
  <c r="P306" i="33"/>
  <c r="P348" i="33" s="1"/>
  <c r="P350" i="33"/>
  <c r="P337" i="33" s="1"/>
  <c r="P37" i="24" s="1"/>
  <c r="P322" i="33"/>
  <c r="P336" i="33" s="1"/>
  <c r="P323" i="33" s="1"/>
  <c r="P36" i="24" s="1"/>
  <c r="P357" i="33"/>
  <c r="P355" i="33"/>
  <c r="P344" i="33"/>
  <c r="P343" i="33"/>
  <c r="P338" i="33"/>
  <c r="P364" i="33"/>
  <c r="P361" i="33"/>
  <c r="P346" i="33"/>
  <c r="P339" i="33"/>
  <c r="P299" i="33"/>
  <c r="P303" i="33"/>
  <c r="R238" i="33"/>
  <c r="R252" i="33" s="1"/>
  <c r="Z252" i="33"/>
  <c r="T252" i="33"/>
  <c r="P430" i="33"/>
  <c r="P438" i="33"/>
  <c r="P425" i="33" s="1"/>
  <c r="P47" i="24" s="1"/>
  <c r="P300" i="33"/>
  <c r="P366" i="33"/>
  <c r="AA264" i="33"/>
  <c r="AA251" i="33" s="1"/>
  <c r="AA29" i="24" s="1"/>
  <c r="P426" i="33"/>
  <c r="P437" i="33"/>
  <c r="T216" i="33"/>
  <c r="T244" i="33"/>
  <c r="Z244" i="33"/>
  <c r="Z218" i="33"/>
  <c r="Z246" i="33"/>
  <c r="T246" i="33"/>
  <c r="P362" i="33"/>
  <c r="P435" i="33"/>
  <c r="R291" i="33"/>
  <c r="T291" i="33" s="1"/>
  <c r="T249" i="33"/>
  <c r="Z249" i="33"/>
  <c r="P434" i="33"/>
  <c r="P298" i="33"/>
  <c r="P307" i="33"/>
  <c r="R287" i="33"/>
  <c r="Y287" i="33" s="1"/>
  <c r="Z245" i="33"/>
  <c r="T245" i="33"/>
  <c r="P428" i="33"/>
  <c r="P360" i="33"/>
  <c r="P431" i="33"/>
  <c r="AA250" i="33"/>
  <c r="AA237" i="33" s="1"/>
  <c r="AA28" i="24" s="1"/>
  <c r="Z212" i="33"/>
  <c r="Z240" i="33"/>
  <c r="T240" i="33"/>
  <c r="Z213" i="33"/>
  <c r="Z241" i="33"/>
  <c r="T241" i="33"/>
  <c r="R289" i="33"/>
  <c r="S289" i="33" s="1"/>
  <c r="Z247" i="33"/>
  <c r="T247" i="33"/>
  <c r="R281" i="33"/>
  <c r="S281" i="33" s="1"/>
  <c r="T239" i="33"/>
  <c r="Z239" i="33"/>
  <c r="P432" i="33"/>
  <c r="P354" i="33"/>
  <c r="P359" i="33"/>
  <c r="S215" i="33"/>
  <c r="T243" i="33"/>
  <c r="Z243" i="33"/>
  <c r="Y214" i="33"/>
  <c r="T242" i="33"/>
  <c r="Z242" i="33"/>
  <c r="T222" i="33"/>
  <c r="Z250" i="33"/>
  <c r="Z237" i="33" s="1"/>
  <c r="Z28" i="24" s="1"/>
  <c r="T250" i="33"/>
  <c r="T237" i="33" s="1"/>
  <c r="T28" i="24" s="1"/>
  <c r="R290" i="33"/>
  <c r="Z290" i="33" s="1"/>
  <c r="Z248" i="33"/>
  <c r="T248" i="33"/>
  <c r="Y220" i="33"/>
  <c r="AC268" i="33"/>
  <c r="Z220" i="33"/>
  <c r="Y212" i="33"/>
  <c r="T268" i="33"/>
  <c r="R225" i="33"/>
  <c r="AC211" i="33"/>
  <c r="S222" i="33"/>
  <c r="T275" i="33"/>
  <c r="Z219" i="33"/>
  <c r="Y219" i="33"/>
  <c r="S219" i="33"/>
  <c r="T219" i="33"/>
  <c r="S275" i="33"/>
  <c r="Z221" i="33"/>
  <c r="Z268" i="33"/>
  <c r="Z211" i="33"/>
  <c r="Y211" i="33"/>
  <c r="R285" i="33"/>
  <c r="Z285" i="33" s="1"/>
  <c r="R236" i="33"/>
  <c r="T211" i="33"/>
  <c r="R282" i="33"/>
  <c r="Y282" i="33" s="1"/>
  <c r="L297" i="33"/>
  <c r="L311" i="33" s="1"/>
  <c r="S268" i="33"/>
  <c r="S266" i="33"/>
  <c r="S211" i="33"/>
  <c r="Z273" i="33"/>
  <c r="Z275" i="33"/>
  <c r="Y275" i="33"/>
  <c r="S216" i="33"/>
  <c r="P405" i="33"/>
  <c r="P419" i="33"/>
  <c r="P414" i="33"/>
  <c r="P400" i="33"/>
  <c r="AC221" i="33"/>
  <c r="P295" i="33"/>
  <c r="P412" i="33"/>
  <c r="P398" i="33"/>
  <c r="P407" i="33"/>
  <c r="P421" i="33"/>
  <c r="L308" i="33"/>
  <c r="AC219" i="33"/>
  <c r="L305" i="33"/>
  <c r="L319" i="33" s="1"/>
  <c r="R233" i="33"/>
  <c r="AC214" i="33"/>
  <c r="S218" i="33"/>
  <c r="T214" i="33"/>
  <c r="Z214" i="33"/>
  <c r="S273" i="33"/>
  <c r="S278" i="33"/>
  <c r="Y222" i="33"/>
  <c r="R286" i="33"/>
  <c r="Z286" i="33" s="1"/>
  <c r="AC269" i="33"/>
  <c r="Y397" i="33"/>
  <c r="S221" i="33"/>
  <c r="Y269" i="33"/>
  <c r="AC276" i="33"/>
  <c r="T269" i="33"/>
  <c r="R226" i="33"/>
  <c r="S212" i="33"/>
  <c r="T215" i="33"/>
  <c r="AC222" i="33"/>
  <c r="L298" i="33"/>
  <c r="L312" i="33" s="1"/>
  <c r="AC397" i="33"/>
  <c r="AC365" i="33"/>
  <c r="AC379" i="33" s="1"/>
  <c r="AC393" i="33" s="1"/>
  <c r="Z365" i="33"/>
  <c r="Z379" i="33" s="1"/>
  <c r="Z393" i="33" s="1"/>
  <c r="Z421" i="33"/>
  <c r="R407" i="33"/>
  <c r="Y365" i="33"/>
  <c r="Y379" i="33" s="1"/>
  <c r="Y393" i="33" s="1"/>
  <c r="T365" i="33"/>
  <c r="T379" i="33" s="1"/>
  <c r="T393" i="33" s="1"/>
  <c r="S365" i="33"/>
  <c r="S379" i="33" s="1"/>
  <c r="S393" i="33" s="1"/>
  <c r="T421" i="33"/>
  <c r="R229" i="33"/>
  <c r="Z266" i="33"/>
  <c r="S397" i="33"/>
  <c r="T221" i="33"/>
  <c r="L307" i="33"/>
  <c r="L321" i="33" s="1"/>
  <c r="Z359" i="33"/>
  <c r="Z373" i="33" s="1"/>
  <c r="Z387" i="33" s="1"/>
  <c r="T359" i="33"/>
  <c r="T373" i="33" s="1"/>
  <c r="T387" i="33" s="1"/>
  <c r="AC359" i="33"/>
  <c r="AC373" i="33" s="1"/>
  <c r="AC387" i="33" s="1"/>
  <c r="R401" i="33"/>
  <c r="S359" i="33"/>
  <c r="S373" i="33" s="1"/>
  <c r="S387" i="33" s="1"/>
  <c r="Z415" i="33"/>
  <c r="T415" i="33"/>
  <c r="Y359" i="33"/>
  <c r="Y373" i="33" s="1"/>
  <c r="Y387" i="33" s="1"/>
  <c r="Z362" i="33"/>
  <c r="Z376" i="33" s="1"/>
  <c r="Z390" i="33" s="1"/>
  <c r="Y362" i="33"/>
  <c r="Y376" i="33" s="1"/>
  <c r="Y390" i="33" s="1"/>
  <c r="T418" i="33"/>
  <c r="Z418" i="33"/>
  <c r="AC362" i="33"/>
  <c r="AC376" i="33" s="1"/>
  <c r="AC390" i="33" s="1"/>
  <c r="S362" i="33"/>
  <c r="S376" i="33" s="1"/>
  <c r="S390" i="33" s="1"/>
  <c r="R404" i="33"/>
  <c r="T362" i="33"/>
  <c r="T376" i="33" s="1"/>
  <c r="T390" i="33" s="1"/>
  <c r="T266" i="33"/>
  <c r="Y221" i="33"/>
  <c r="T276" i="33"/>
  <c r="AC212" i="33"/>
  <c r="Y215" i="33"/>
  <c r="T212" i="33"/>
  <c r="Z397" i="33"/>
  <c r="Z360" i="33"/>
  <c r="Z374" i="33" s="1"/>
  <c r="Z388" i="33" s="1"/>
  <c r="T360" i="33"/>
  <c r="T374" i="33" s="1"/>
  <c r="T388" i="33" s="1"/>
  <c r="AC360" i="33"/>
  <c r="AC374" i="33" s="1"/>
  <c r="AC388" i="33" s="1"/>
  <c r="Y360" i="33"/>
  <c r="Y374" i="33" s="1"/>
  <c r="Y388" i="33" s="1"/>
  <c r="T416" i="33"/>
  <c r="Z416" i="33"/>
  <c r="S360" i="33"/>
  <c r="S374" i="33" s="1"/>
  <c r="S388" i="33" s="1"/>
  <c r="R402" i="33"/>
  <c r="S364" i="33"/>
  <c r="S378" i="33" s="1"/>
  <c r="S392" i="33" s="1"/>
  <c r="Y364" i="33"/>
  <c r="Y378" i="33" s="1"/>
  <c r="Y392" i="33" s="1"/>
  <c r="AC364" i="33"/>
  <c r="AC378" i="33" s="1"/>
  <c r="AC392" i="33" s="1"/>
  <c r="R406" i="33"/>
  <c r="Z420" i="33"/>
  <c r="Z364" i="33"/>
  <c r="Z378" i="33" s="1"/>
  <c r="Z392" i="33" s="1"/>
  <c r="T364" i="33"/>
  <c r="T378" i="33" s="1"/>
  <c r="T392" i="33" s="1"/>
  <c r="T420" i="33"/>
  <c r="T410" i="33"/>
  <c r="Z354" i="33"/>
  <c r="Z368" i="33" s="1"/>
  <c r="Z382" i="33" s="1"/>
  <c r="Y354" i="33"/>
  <c r="Y368" i="33" s="1"/>
  <c r="Y382" i="33" s="1"/>
  <c r="R396" i="33"/>
  <c r="AC354" i="33"/>
  <c r="AC368" i="33" s="1"/>
  <c r="AC382" i="33" s="1"/>
  <c r="S354" i="33"/>
  <c r="S368" i="33" s="1"/>
  <c r="S382" i="33" s="1"/>
  <c r="Z410" i="33"/>
  <c r="T354" i="33"/>
  <c r="T368" i="33" s="1"/>
  <c r="T382" i="33" s="1"/>
  <c r="S276" i="33"/>
  <c r="Z413" i="33"/>
  <c r="Z357" i="33"/>
  <c r="Z371" i="33" s="1"/>
  <c r="Z385" i="33" s="1"/>
  <c r="T357" i="33"/>
  <c r="T371" i="33" s="1"/>
  <c r="T385" i="33" s="1"/>
  <c r="AC357" i="33"/>
  <c r="AC371" i="33" s="1"/>
  <c r="AC385" i="33" s="1"/>
  <c r="S357" i="33"/>
  <c r="S371" i="33" s="1"/>
  <c r="S385" i="33" s="1"/>
  <c r="R399" i="33"/>
  <c r="Y357" i="33"/>
  <c r="Y371" i="33" s="1"/>
  <c r="Y385" i="33" s="1"/>
  <c r="T413" i="33"/>
  <c r="Z276" i="33"/>
  <c r="S270" i="33"/>
  <c r="R411" i="33"/>
  <c r="AB411" i="33" s="1"/>
  <c r="S269" i="33"/>
  <c r="Z215" i="33"/>
  <c r="Y266" i="33"/>
  <c r="Y216" i="33"/>
  <c r="Z277" i="33"/>
  <c r="S358" i="33"/>
  <c r="S372" i="33" s="1"/>
  <c r="S386" i="33" s="1"/>
  <c r="R400" i="33"/>
  <c r="Z414" i="33"/>
  <c r="Z358" i="33"/>
  <c r="Z372" i="33" s="1"/>
  <c r="Z386" i="33" s="1"/>
  <c r="AC358" i="33"/>
  <c r="AC372" i="33" s="1"/>
  <c r="AC386" i="33" s="1"/>
  <c r="Y358" i="33"/>
  <c r="Y372" i="33" s="1"/>
  <c r="Y386" i="33" s="1"/>
  <c r="T358" i="33"/>
  <c r="T372" i="33" s="1"/>
  <c r="T386" i="33" s="1"/>
  <c r="T414" i="33"/>
  <c r="T417" i="33"/>
  <c r="Z417" i="33"/>
  <c r="AC361" i="33"/>
  <c r="AC375" i="33" s="1"/>
  <c r="AC389" i="33" s="1"/>
  <c r="T361" i="33"/>
  <c r="T375" i="33" s="1"/>
  <c r="T389" i="33" s="1"/>
  <c r="S361" i="33"/>
  <c r="S375" i="33" s="1"/>
  <c r="S389" i="33" s="1"/>
  <c r="Z361" i="33"/>
  <c r="Z375" i="33" s="1"/>
  <c r="Z389" i="33" s="1"/>
  <c r="Y361" i="33"/>
  <c r="Y375" i="33" s="1"/>
  <c r="Y389" i="33" s="1"/>
  <c r="R403" i="33"/>
  <c r="S271" i="33"/>
  <c r="T273" i="33"/>
  <c r="AC273" i="33"/>
  <c r="R292" i="33"/>
  <c r="AC292" i="33" s="1"/>
  <c r="R235" i="33"/>
  <c r="Z222" i="33"/>
  <c r="T278" i="33"/>
  <c r="S272" i="33"/>
  <c r="S274" i="33"/>
  <c r="T412" i="33"/>
  <c r="S356" i="33"/>
  <c r="S370" i="33" s="1"/>
  <c r="S384" i="33" s="1"/>
  <c r="Y356" i="33"/>
  <c r="Y370" i="33" s="1"/>
  <c r="Y384" i="33" s="1"/>
  <c r="T356" i="33"/>
  <c r="T370" i="33" s="1"/>
  <c r="T384" i="33" s="1"/>
  <c r="R398" i="33"/>
  <c r="AC356" i="33"/>
  <c r="AC370" i="33" s="1"/>
  <c r="AC384" i="33" s="1"/>
  <c r="Z412" i="33"/>
  <c r="Z356" i="33"/>
  <c r="Z370" i="33" s="1"/>
  <c r="Z384" i="33" s="1"/>
  <c r="T422" i="33"/>
  <c r="T366" i="33"/>
  <c r="T380" i="33" s="1"/>
  <c r="Z366" i="33"/>
  <c r="Z380" i="33" s="1"/>
  <c r="AC366" i="33"/>
  <c r="AC380" i="33" s="1"/>
  <c r="S366" i="33"/>
  <c r="S380" i="33" s="1"/>
  <c r="R408" i="33"/>
  <c r="Z422" i="33"/>
  <c r="Y366" i="33"/>
  <c r="Y380" i="33" s="1"/>
  <c r="AC419" i="33"/>
  <c r="S419" i="33"/>
  <c r="AB419" i="33"/>
  <c r="Y419" i="33"/>
  <c r="S277" i="33"/>
  <c r="R230" i="33"/>
  <c r="Y272" i="33"/>
  <c r="AC271" i="33"/>
  <c r="L304" i="33"/>
  <c r="L318" i="33" s="1"/>
  <c r="Z217" i="33"/>
  <c r="L303" i="33"/>
  <c r="L317" i="33" s="1"/>
  <c r="AC217" i="33"/>
  <c r="T274" i="33"/>
  <c r="R288" i="33"/>
  <c r="T288" i="33" s="1"/>
  <c r="R231" i="33"/>
  <c r="T277" i="33"/>
  <c r="Y217" i="33"/>
  <c r="Y271" i="33"/>
  <c r="T217" i="33"/>
  <c r="Y274" i="33"/>
  <c r="Z271" i="33"/>
  <c r="R232" i="33"/>
  <c r="Y218" i="33"/>
  <c r="AC274" i="33"/>
  <c r="S217" i="33"/>
  <c r="Z274" i="33"/>
  <c r="T218" i="33"/>
  <c r="AC218" i="33"/>
  <c r="Y277" i="33"/>
  <c r="R228" i="33"/>
  <c r="Y270" i="33"/>
  <c r="AC277" i="33"/>
  <c r="AC270" i="33"/>
  <c r="AC278" i="33"/>
  <c r="S214" i="33"/>
  <c r="Z216" i="33"/>
  <c r="L302" i="33"/>
  <c r="L316" i="33" s="1"/>
  <c r="AC272" i="33"/>
  <c r="Y278" i="33"/>
  <c r="R227" i="33"/>
  <c r="L299" i="33"/>
  <c r="L313" i="33" s="1"/>
  <c r="L337" i="33"/>
  <c r="L37" i="24" s="1"/>
  <c r="T270" i="33"/>
  <c r="Z270" i="33"/>
  <c r="R284" i="33"/>
  <c r="L300" i="33"/>
  <c r="L314" i="33" s="1"/>
  <c r="Z272" i="33"/>
  <c r="AC215" i="33"/>
  <c r="L301" i="33"/>
  <c r="L315" i="33" s="1"/>
  <c r="T213" i="33"/>
  <c r="AC216" i="33"/>
  <c r="AC213" i="33"/>
  <c r="S213" i="33"/>
  <c r="Y213" i="33"/>
  <c r="R283" i="33"/>
  <c r="Z283" i="33" s="1"/>
  <c r="AA292" i="33"/>
  <c r="T280" i="33"/>
  <c r="Z280" i="33"/>
  <c r="S280" i="33"/>
  <c r="AC280" i="33"/>
  <c r="Y280" i="33"/>
  <c r="AC224" i="33"/>
  <c r="S224" i="33"/>
  <c r="AB224" i="33"/>
  <c r="Y224" i="33"/>
  <c r="S367" i="33" l="1"/>
  <c r="S41" i="24" s="1"/>
  <c r="S394" i="33"/>
  <c r="S381" i="33" s="1"/>
  <c r="S42" i="24" s="1"/>
  <c r="AC394" i="33"/>
  <c r="AC381" i="33" s="1"/>
  <c r="AC42" i="24" s="1"/>
  <c r="AC367" i="33"/>
  <c r="AC41" i="24" s="1"/>
  <c r="P417" i="33"/>
  <c r="P375" i="33"/>
  <c r="P389" i="33" s="1"/>
  <c r="Z367" i="33"/>
  <c r="Z41" i="24" s="1"/>
  <c r="Z394" i="33"/>
  <c r="Z381" i="33" s="1"/>
  <c r="Z42" i="24" s="1"/>
  <c r="P410" i="33"/>
  <c r="P368" i="33"/>
  <c r="P382" i="33" s="1"/>
  <c r="P416" i="33"/>
  <c r="P374" i="33"/>
  <c r="P388" i="33" s="1"/>
  <c r="P413" i="33"/>
  <c r="P371" i="33"/>
  <c r="P385" i="33" s="1"/>
  <c r="T394" i="33"/>
  <c r="T381" i="33" s="1"/>
  <c r="T42" i="24" s="1"/>
  <c r="T367" i="33"/>
  <c r="T41" i="24" s="1"/>
  <c r="P420" i="33"/>
  <c r="P378" i="33"/>
  <c r="P392" i="33" s="1"/>
  <c r="P404" i="33"/>
  <c r="P376" i="33"/>
  <c r="P390" i="33" s="1"/>
  <c r="Y367" i="33"/>
  <c r="Y41" i="24" s="1"/>
  <c r="Y394" i="33"/>
  <c r="Y381" i="33" s="1"/>
  <c r="Y42" i="24" s="1"/>
  <c r="P353" i="33"/>
  <c r="P380" i="33"/>
  <c r="P401" i="33"/>
  <c r="P373" i="33"/>
  <c r="P387" i="33" s="1"/>
  <c r="P411" i="33"/>
  <c r="P369" i="33"/>
  <c r="P383" i="33" s="1"/>
  <c r="P319" i="33"/>
  <c r="P333" i="33" s="1"/>
  <c r="P313" i="33"/>
  <c r="P327" i="33" s="1"/>
  <c r="P312" i="33"/>
  <c r="P326" i="33" s="1"/>
  <c r="P317" i="33"/>
  <c r="P331" i="33" s="1"/>
  <c r="T262" i="33"/>
  <c r="P314" i="33"/>
  <c r="P328" i="33" s="1"/>
  <c r="AB234" i="33"/>
  <c r="R248" i="33"/>
  <c r="R262" i="33" s="1"/>
  <c r="AC262" i="33" s="1"/>
  <c r="AC234" i="33"/>
  <c r="P320" i="33"/>
  <c r="P334" i="33" s="1"/>
  <c r="Z262" i="33"/>
  <c r="S234" i="33"/>
  <c r="S238" i="33"/>
  <c r="P347" i="33"/>
  <c r="L335" i="33"/>
  <c r="L330" i="33"/>
  <c r="L333" i="33"/>
  <c r="P397" i="33"/>
  <c r="L325" i="33"/>
  <c r="L331" i="33"/>
  <c r="L328" i="33"/>
  <c r="L334" i="33"/>
  <c r="L329" i="33"/>
  <c r="L327" i="33"/>
  <c r="L332" i="33"/>
  <c r="L326" i="33"/>
  <c r="P403" i="33"/>
  <c r="P399" i="33"/>
  <c r="AC287" i="33"/>
  <c r="L295" i="33"/>
  <c r="L322" i="33"/>
  <c r="L336" i="33" s="1"/>
  <c r="L323" i="33" s="1"/>
  <c r="L36" i="24" s="1"/>
  <c r="P402" i="33"/>
  <c r="P418" i="33"/>
  <c r="P415" i="33"/>
  <c r="P309" i="33"/>
  <c r="P35" i="24" s="1"/>
  <c r="P349" i="33"/>
  <c r="P321" i="33"/>
  <c r="P406" i="33"/>
  <c r="Z281" i="33"/>
  <c r="Y290" i="33"/>
  <c r="Y291" i="33"/>
  <c r="Z291" i="33"/>
  <c r="P34" i="24"/>
  <c r="P340" i="33"/>
  <c r="P396" i="33"/>
  <c r="P408" i="33"/>
  <c r="P395" i="33" s="1"/>
  <c r="P43" i="24" s="1"/>
  <c r="AC238" i="33"/>
  <c r="P345" i="33"/>
  <c r="P422" i="33"/>
  <c r="P409" i="33" s="1"/>
  <c r="P44" i="24" s="1"/>
  <c r="Y238" i="33"/>
  <c r="P341" i="33"/>
  <c r="AB238" i="33"/>
  <c r="P342" i="33"/>
  <c r="T255" i="33"/>
  <c r="Z255" i="33"/>
  <c r="S262" i="33"/>
  <c r="S291" i="33"/>
  <c r="T254" i="33"/>
  <c r="Z254" i="33"/>
  <c r="T253" i="33"/>
  <c r="Z253" i="33"/>
  <c r="AC291" i="33"/>
  <c r="T263" i="33"/>
  <c r="Z263" i="33"/>
  <c r="S252" i="33"/>
  <c r="AC252" i="33"/>
  <c r="AB252" i="33"/>
  <c r="Y252" i="33"/>
  <c r="Z259" i="33"/>
  <c r="T259" i="33"/>
  <c r="Z287" i="33"/>
  <c r="Z256" i="33"/>
  <c r="T256" i="33"/>
  <c r="Z260" i="33"/>
  <c r="T260" i="33"/>
  <c r="T258" i="33"/>
  <c r="Z258" i="33"/>
  <c r="T261" i="33"/>
  <c r="Z261" i="33"/>
  <c r="T257" i="33"/>
  <c r="Z257" i="33"/>
  <c r="T264" i="33"/>
  <c r="T251" i="33" s="1"/>
  <c r="T29" i="24" s="1"/>
  <c r="Z264" i="33"/>
  <c r="Z251" i="33" s="1"/>
  <c r="Z29" i="24" s="1"/>
  <c r="AC232" i="33"/>
  <c r="R246" i="33"/>
  <c r="R260" i="33" s="1"/>
  <c r="AB225" i="33"/>
  <c r="R239" i="33"/>
  <c r="R253" i="33" s="1"/>
  <c r="Y226" i="33"/>
  <c r="R240" i="33"/>
  <c r="R254" i="33" s="1"/>
  <c r="AC289" i="33"/>
  <c r="S235" i="33"/>
  <c r="R249" i="33"/>
  <c r="R263" i="33" s="1"/>
  <c r="Y289" i="33"/>
  <c r="AB228" i="33"/>
  <c r="R242" i="33"/>
  <c r="R256" i="33" s="1"/>
  <c r="AB236" i="33"/>
  <c r="R250" i="33"/>
  <c r="Y281" i="33"/>
  <c r="AC290" i="33"/>
  <c r="AC233" i="33"/>
  <c r="R247" i="33"/>
  <c r="R261" i="33" s="1"/>
  <c r="S287" i="33"/>
  <c r="T287" i="33"/>
  <c r="Y227" i="33"/>
  <c r="R241" i="33"/>
  <c r="R255" i="33" s="1"/>
  <c r="AC281" i="33"/>
  <c r="T289" i="33"/>
  <c r="Y230" i="33"/>
  <c r="R244" i="33"/>
  <c r="R258" i="33" s="1"/>
  <c r="AB229" i="33"/>
  <c r="R243" i="33"/>
  <c r="R257" i="33" s="1"/>
  <c r="S290" i="33"/>
  <c r="T290" i="33"/>
  <c r="Z289" i="33"/>
  <c r="S231" i="33"/>
  <c r="R245" i="33"/>
  <c r="R259" i="33" s="1"/>
  <c r="T281" i="33"/>
  <c r="AC225" i="33"/>
  <c r="Y285" i="33"/>
  <c r="AC285" i="33"/>
  <c r="Y286" i="33"/>
  <c r="Z282" i="33"/>
  <c r="T282" i="33"/>
  <c r="Y225" i="33"/>
  <c r="S225" i="33"/>
  <c r="AC282" i="33"/>
  <c r="S282" i="33"/>
  <c r="S236" i="33"/>
  <c r="AC411" i="33"/>
  <c r="S233" i="33"/>
  <c r="S285" i="33"/>
  <c r="T285" i="33"/>
  <c r="Y236" i="33"/>
  <c r="AC236" i="33"/>
  <c r="AC286" i="33"/>
  <c r="S230" i="33"/>
  <c r="AB230" i="33"/>
  <c r="Y233" i="33"/>
  <c r="AC229" i="33"/>
  <c r="Y229" i="33"/>
  <c r="S229" i="33"/>
  <c r="Y411" i="33"/>
  <c r="Y292" i="33"/>
  <c r="R395" i="33"/>
  <c r="R43" i="24" s="1"/>
  <c r="AB233" i="33"/>
  <c r="AB235" i="33"/>
  <c r="AC235" i="33"/>
  <c r="T286" i="33"/>
  <c r="AB226" i="33"/>
  <c r="Y228" i="33"/>
  <c r="S286" i="33"/>
  <c r="AC226" i="33"/>
  <c r="Z292" i="33"/>
  <c r="T292" i="33"/>
  <c r="Y235" i="33"/>
  <c r="S292" i="33"/>
  <c r="T283" i="33"/>
  <c r="S226" i="33"/>
  <c r="Y408" i="33"/>
  <c r="Z408" i="33"/>
  <c r="R422" i="33"/>
  <c r="S408" i="33"/>
  <c r="AC408" i="33"/>
  <c r="T408" i="33"/>
  <c r="T395" i="33" s="1"/>
  <c r="T43" i="24" s="1"/>
  <c r="AB231" i="33"/>
  <c r="S411" i="33"/>
  <c r="Z396" i="33"/>
  <c r="Y396" i="33"/>
  <c r="T396" i="33"/>
  <c r="AC396" i="33"/>
  <c r="R410" i="33"/>
  <c r="S396" i="33"/>
  <c r="S406" i="33"/>
  <c r="Z406" i="33"/>
  <c r="Y406" i="33"/>
  <c r="AC406" i="33"/>
  <c r="T406" i="33"/>
  <c r="R420" i="33"/>
  <c r="Z398" i="33"/>
  <c r="R412" i="33"/>
  <c r="AC398" i="33"/>
  <c r="S398" i="33"/>
  <c r="Y398" i="33"/>
  <c r="T398" i="33"/>
  <c r="S288" i="33"/>
  <c r="Z399" i="33"/>
  <c r="T399" i="33"/>
  <c r="S399" i="33"/>
  <c r="Y399" i="33"/>
  <c r="R413" i="33"/>
  <c r="AC399" i="33"/>
  <c r="Y402" i="33"/>
  <c r="AC402" i="33"/>
  <c r="S402" i="33"/>
  <c r="R416" i="33"/>
  <c r="T402" i="33"/>
  <c r="Z402" i="33"/>
  <c r="R418" i="33"/>
  <c r="S404" i="33"/>
  <c r="Z404" i="33"/>
  <c r="Y404" i="33"/>
  <c r="AC404" i="33"/>
  <c r="T404" i="33"/>
  <c r="Z407" i="33"/>
  <c r="T407" i="33"/>
  <c r="Y407" i="33"/>
  <c r="AC407" i="33"/>
  <c r="R421" i="33"/>
  <c r="S407" i="33"/>
  <c r="S403" i="33"/>
  <c r="R417" i="33"/>
  <c r="T403" i="33"/>
  <c r="Z403" i="33"/>
  <c r="Y403" i="33"/>
  <c r="AC403" i="33"/>
  <c r="AC400" i="33"/>
  <c r="R414" i="33"/>
  <c r="T400" i="33"/>
  <c r="Y400" i="33"/>
  <c r="S400" i="33"/>
  <c r="Z400" i="33"/>
  <c r="AC231" i="33"/>
  <c r="AC401" i="33"/>
  <c r="Z401" i="33"/>
  <c r="R415" i="33"/>
  <c r="S401" i="33"/>
  <c r="Y401" i="33"/>
  <c r="T401" i="33"/>
  <c r="AC230" i="33"/>
  <c r="Y288" i="33"/>
  <c r="Y231" i="33"/>
  <c r="Y232" i="33"/>
  <c r="S228" i="33"/>
  <c r="AC228" i="33"/>
  <c r="S232" i="33"/>
  <c r="AC288" i="33"/>
  <c r="AB232" i="33"/>
  <c r="Z288" i="33"/>
  <c r="AC227" i="33"/>
  <c r="S227" i="33"/>
  <c r="AB227" i="33"/>
  <c r="AC283" i="33"/>
  <c r="S284" i="33"/>
  <c r="Z284" i="33"/>
  <c r="Y284" i="33"/>
  <c r="AC284" i="33"/>
  <c r="T284" i="33"/>
  <c r="S283" i="33"/>
  <c r="Y283" i="33"/>
  <c r="Y248" i="33" l="1"/>
  <c r="AC248" i="33"/>
  <c r="P40" i="24"/>
  <c r="AB262" i="33"/>
  <c r="P367" i="33"/>
  <c r="P41" i="24" s="1"/>
  <c r="P394" i="33"/>
  <c r="P381" i="33" s="1"/>
  <c r="P42" i="24" s="1"/>
  <c r="Y262" i="33"/>
  <c r="L34" i="24"/>
  <c r="S248" i="33"/>
  <c r="AB248" i="33"/>
  <c r="P335" i="33"/>
  <c r="L309" i="33"/>
  <c r="L35" i="24" s="1"/>
  <c r="Y255" i="33"/>
  <c r="AC255" i="33"/>
  <c r="AB255" i="33"/>
  <c r="S255" i="33"/>
  <c r="R264" i="33"/>
  <c r="R251" i="33" s="1"/>
  <c r="R29" i="24" s="1"/>
  <c r="R237" i="33"/>
  <c r="R28" i="24" s="1"/>
  <c r="Y254" i="33"/>
  <c r="AB254" i="33"/>
  <c r="AC254" i="33"/>
  <c r="S254" i="33"/>
  <c r="AB253" i="33"/>
  <c r="S253" i="33"/>
  <c r="Y253" i="33"/>
  <c r="AC253" i="33"/>
  <c r="AC258" i="33"/>
  <c r="S258" i="33"/>
  <c r="AB258" i="33"/>
  <c r="Y258" i="33"/>
  <c r="AB261" i="33"/>
  <c r="S261" i="33"/>
  <c r="Y261" i="33"/>
  <c r="AC261" i="33"/>
  <c r="S260" i="33"/>
  <c r="AC260" i="33"/>
  <c r="Y260" i="33"/>
  <c r="AB260" i="33"/>
  <c r="AB257" i="33"/>
  <c r="AC257" i="33"/>
  <c r="S257" i="33"/>
  <c r="Y257" i="33"/>
  <c r="AB259" i="33"/>
  <c r="Y259" i="33"/>
  <c r="AC259" i="33"/>
  <c r="S259" i="33"/>
  <c r="AB263" i="33"/>
  <c r="AC263" i="33"/>
  <c r="S263" i="33"/>
  <c r="Y263" i="33"/>
  <c r="S256" i="33"/>
  <c r="AC256" i="33"/>
  <c r="Y256" i="33"/>
  <c r="AB256" i="33"/>
  <c r="AC241" i="33"/>
  <c r="AB241" i="33"/>
  <c r="Y241" i="33"/>
  <c r="S241" i="33"/>
  <c r="Y243" i="33"/>
  <c r="AB243" i="33"/>
  <c r="S243" i="33"/>
  <c r="AC243" i="33"/>
  <c r="AB242" i="33"/>
  <c r="Y242" i="33"/>
  <c r="S242" i="33"/>
  <c r="AC242" i="33"/>
  <c r="AC239" i="33"/>
  <c r="AB239" i="33"/>
  <c r="S239" i="33"/>
  <c r="Y239" i="33"/>
  <c r="AC250" i="33"/>
  <c r="AC237" i="33" s="1"/>
  <c r="AC28" i="24" s="1"/>
  <c r="AB250" i="33"/>
  <c r="AB237" i="33" s="1"/>
  <c r="AB28" i="24" s="1"/>
  <c r="S250" i="33"/>
  <c r="S237" i="33" s="1"/>
  <c r="S28" i="24" s="1"/>
  <c r="Y250" i="33"/>
  <c r="Y237" i="33" s="1"/>
  <c r="Y28" i="24" s="1"/>
  <c r="AB244" i="33"/>
  <c r="AC244" i="33"/>
  <c r="S244" i="33"/>
  <c r="Y244" i="33"/>
  <c r="AC247" i="33"/>
  <c r="AB247" i="33"/>
  <c r="S247" i="33"/>
  <c r="Y247" i="33"/>
  <c r="AC246" i="33"/>
  <c r="S246" i="33"/>
  <c r="Y246" i="33"/>
  <c r="AB246" i="33"/>
  <c r="Y240" i="33"/>
  <c r="AC240" i="33"/>
  <c r="AB240" i="33"/>
  <c r="S240" i="33"/>
  <c r="S245" i="33"/>
  <c r="Y245" i="33"/>
  <c r="AC245" i="33"/>
  <c r="AB245" i="33"/>
  <c r="AC249" i="33"/>
  <c r="AB249" i="33"/>
  <c r="Y249" i="33"/>
  <c r="S249" i="33"/>
  <c r="S395" i="33"/>
  <c r="S43" i="24" s="1"/>
  <c r="T353" i="33"/>
  <c r="AC422" i="33"/>
  <c r="Y422" i="33"/>
  <c r="AB422" i="33"/>
  <c r="S422" i="33"/>
  <c r="Y421" i="33"/>
  <c r="AC421" i="33"/>
  <c r="S421" i="33"/>
  <c r="AB421" i="33"/>
  <c r="AC418" i="33"/>
  <c r="S418" i="33"/>
  <c r="Y418" i="33"/>
  <c r="AB418" i="33"/>
  <c r="S413" i="33"/>
  <c r="AC413" i="33"/>
  <c r="AB413" i="33"/>
  <c r="Y413" i="33"/>
  <c r="Y415" i="33"/>
  <c r="S415" i="33"/>
  <c r="AC415" i="33"/>
  <c r="AB415" i="33"/>
  <c r="AC417" i="33"/>
  <c r="AB417" i="33"/>
  <c r="S417" i="33"/>
  <c r="Y417" i="33"/>
  <c r="AB416" i="33"/>
  <c r="S416" i="33"/>
  <c r="AC416" i="33"/>
  <c r="Y416" i="33"/>
  <c r="AC414" i="33"/>
  <c r="AB414" i="33"/>
  <c r="S414" i="33"/>
  <c r="Y414" i="33"/>
  <c r="AB412" i="33"/>
  <c r="S412" i="33"/>
  <c r="AC412" i="33"/>
  <c r="Y412" i="33"/>
  <c r="Y410" i="33"/>
  <c r="AB410" i="33"/>
  <c r="AC410" i="33"/>
  <c r="S410" i="33"/>
  <c r="AC420" i="33"/>
  <c r="AB420" i="33"/>
  <c r="S420" i="33"/>
  <c r="Y420" i="33"/>
  <c r="T40" i="24" l="1"/>
  <c r="AB264" i="33"/>
  <c r="AB251" i="33" s="1"/>
  <c r="AB29" i="24" s="1"/>
  <c r="S264" i="33"/>
  <c r="S251" i="33" s="1"/>
  <c r="S29" i="24" s="1"/>
  <c r="Y264" i="33"/>
  <c r="Y251" i="33" s="1"/>
  <c r="Y29" i="24" s="1"/>
  <c r="AC264" i="33"/>
  <c r="AC251" i="33" s="1"/>
  <c r="AC29" i="24" s="1"/>
  <c r="R409" i="33"/>
  <c r="R44" i="24" s="1"/>
  <c r="T409" i="33"/>
  <c r="T44" i="24" s="1"/>
  <c r="R353" i="33"/>
  <c r="S353" i="33"/>
  <c r="S40" i="24" l="1"/>
  <c r="R40" i="24"/>
  <c r="S409" i="33"/>
  <c r="S44" i="24" s="1"/>
  <c r="C18" i="35"/>
  <c r="C6" i="35"/>
  <c r="E209" i="33" l="1"/>
  <c r="E26" i="24" s="1"/>
  <c r="P265" i="33"/>
  <c r="P30" i="24" s="1"/>
  <c r="D265" i="33"/>
  <c r="D30" i="24" s="1"/>
  <c r="V265" i="33"/>
  <c r="V30" i="24" s="1"/>
  <c r="D209" i="33"/>
  <c r="D26" i="24" s="1"/>
  <c r="V279" i="33"/>
  <c r="V31" i="24" s="1"/>
  <c r="F279" i="33"/>
  <c r="F31" i="24" s="1"/>
  <c r="E265" i="33"/>
  <c r="E30" i="24" s="1"/>
  <c r="P223" i="33"/>
  <c r="P27" i="24" s="1"/>
  <c r="F265" i="33"/>
  <c r="F30" i="24" s="1"/>
  <c r="N265" i="33"/>
  <c r="N30" i="24" s="1"/>
  <c r="V209" i="33"/>
  <c r="V26" i="24" s="1"/>
  <c r="D223" i="33"/>
  <c r="D27" i="24" s="1"/>
  <c r="N209" i="33"/>
  <c r="N26" i="24" s="1"/>
  <c r="E223" i="33"/>
  <c r="E27" i="24" s="1"/>
  <c r="V223" i="33"/>
  <c r="V27" i="24" s="1"/>
  <c r="P279" i="33"/>
  <c r="P31" i="24" s="1"/>
  <c r="E279" i="33"/>
  <c r="E31" i="24" s="1"/>
  <c r="F209" i="33"/>
  <c r="F26" i="24" s="1"/>
  <c r="N279" i="33"/>
  <c r="N31" i="24" s="1"/>
  <c r="P209" i="33"/>
  <c r="P26" i="24" s="1"/>
  <c r="F223" i="33"/>
  <c r="F27" i="24" s="1"/>
  <c r="D279" i="33"/>
  <c r="D31" i="24" s="1"/>
  <c r="N195" i="33"/>
  <c r="N25" i="24" s="1"/>
  <c r="E195" i="33"/>
  <c r="E25" i="24" s="1"/>
  <c r="F195" i="33"/>
  <c r="F25" i="24" s="1"/>
  <c r="P195" i="33"/>
  <c r="P25" i="24" s="1"/>
  <c r="D195" i="33"/>
  <c r="D25" i="24" s="1"/>
  <c r="V195" i="33"/>
  <c r="V25" i="24" s="1"/>
  <c r="R223" i="33" l="1"/>
  <c r="T223" i="33"/>
  <c r="T27" i="24" s="1"/>
  <c r="R279" i="33"/>
  <c r="R31" i="24" s="1"/>
  <c r="R209" i="33"/>
  <c r="R26" i="24" s="1"/>
  <c r="T195" i="33"/>
  <c r="T25" i="24" s="1"/>
  <c r="S223" i="33" l="1"/>
  <c r="S27" i="24" s="1"/>
  <c r="R27" i="24"/>
  <c r="T265" i="33"/>
  <c r="T30" i="24" s="1"/>
  <c r="R265" i="33"/>
  <c r="R30" i="24" s="1"/>
  <c r="S265" i="33"/>
  <c r="S30" i="24" s="1"/>
  <c r="S279" i="33"/>
  <c r="S31" i="24" s="1"/>
  <c r="T279" i="33"/>
  <c r="T31" i="24" s="1"/>
  <c r="T209" i="33"/>
  <c r="T26" i="24" s="1"/>
  <c r="S209" i="33"/>
  <c r="S26" i="24" s="1"/>
  <c r="R195" i="33"/>
  <c r="R25" i="24" s="1"/>
  <c r="S195" i="33" l="1"/>
  <c r="S25" i="24" s="1"/>
  <c r="Z409" i="33" l="1"/>
  <c r="Z44" i="24" s="1"/>
  <c r="Y395" i="33"/>
  <c r="Y43" i="24" s="1"/>
  <c r="Y209" i="33"/>
  <c r="Y26" i="24" s="1"/>
  <c r="Y265" i="33"/>
  <c r="Y30" i="24" s="1"/>
  <c r="Y409" i="33"/>
  <c r="Y44" i="24" s="1"/>
  <c r="Y279" i="33"/>
  <c r="Y31" i="24" s="1"/>
  <c r="Y223" i="33"/>
  <c r="Y27" i="24" s="1"/>
  <c r="Y353" i="33"/>
  <c r="Y195" i="33"/>
  <c r="Y25" i="24" s="1"/>
  <c r="Y40" i="24" l="1"/>
  <c r="Z279" i="33"/>
  <c r="Z31" i="24" s="1"/>
  <c r="AA337" i="33"/>
  <c r="AC279" i="33"/>
  <c r="AC31" i="24" s="1"/>
  <c r="AB409" i="33"/>
  <c r="AB44" i="24" s="1"/>
  <c r="Z395" i="33"/>
  <c r="Z43" i="24" s="1"/>
  <c r="AA409" i="33"/>
  <c r="AA44" i="24" s="1"/>
  <c r="AC409" i="33"/>
  <c r="AC44" i="24" s="1"/>
  <c r="Z353" i="33"/>
  <c r="B11" i="35"/>
  <c r="AA279" i="33"/>
  <c r="AA31" i="24" s="1"/>
  <c r="B18" i="35"/>
  <c r="F18" i="35" s="1"/>
  <c r="Z40" i="24" l="1"/>
  <c r="AA37" i="24"/>
  <c r="Z265" i="33"/>
  <c r="Z30" i="24" s="1"/>
  <c r="B5" i="35"/>
  <c r="Z209" i="33"/>
  <c r="Z26" i="24" s="1"/>
  <c r="AC265" i="33"/>
  <c r="AC30" i="24" s="1"/>
  <c r="AC209" i="33"/>
  <c r="AC26" i="24" s="1"/>
  <c r="AA209" i="33"/>
  <c r="AA26" i="24" s="1"/>
  <c r="Z223" i="33"/>
  <c r="Z27" i="24" s="1"/>
  <c r="AC395" i="33"/>
  <c r="AC43" i="24" s="1"/>
  <c r="AA395" i="33"/>
  <c r="AA43" i="24" s="1"/>
  <c r="AA353" i="33"/>
  <c r="AC353" i="33"/>
  <c r="B12" i="35"/>
  <c r="B27" i="35"/>
  <c r="F27" i="35" s="1"/>
  <c r="AA265" i="33"/>
  <c r="AA30" i="24" s="1"/>
  <c r="B31" i="35"/>
  <c r="Z195" i="33"/>
  <c r="Z25" i="24" s="1"/>
  <c r="AE2" i="33"/>
  <c r="AE2" i="24" s="1"/>
  <c r="AC2" i="33"/>
  <c r="AC2" i="24" s="1"/>
  <c r="AB2" i="33"/>
  <c r="AB2" i="24" s="1"/>
  <c r="AA2" i="33"/>
  <c r="AA2" i="24" s="1"/>
  <c r="Z2" i="33"/>
  <c r="Z2" i="24" s="1"/>
  <c r="Y2" i="33"/>
  <c r="Y2" i="24" s="1"/>
  <c r="X2" i="33"/>
  <c r="X2" i="24" s="1"/>
  <c r="W2" i="33"/>
  <c r="W2" i="24" s="1"/>
  <c r="V2" i="33"/>
  <c r="U2" i="33"/>
  <c r="U2" i="24" s="1"/>
  <c r="T2" i="33"/>
  <c r="T2" i="24" s="1"/>
  <c r="S2" i="33"/>
  <c r="S2" i="24" s="1"/>
  <c r="R2" i="33"/>
  <c r="Q2" i="33"/>
  <c r="P2" i="33"/>
  <c r="O2" i="33"/>
  <c r="O2" i="24" s="1"/>
  <c r="N2" i="33"/>
  <c r="N2" i="24" s="1"/>
  <c r="M2" i="33"/>
  <c r="M2" i="24" s="1"/>
  <c r="L2" i="33"/>
  <c r="L2" i="24" s="1"/>
  <c r="K2" i="33"/>
  <c r="K2" i="24" s="1"/>
  <c r="J2" i="33"/>
  <c r="J2" i="24" s="1"/>
  <c r="I2" i="33"/>
  <c r="I2" i="24" s="1"/>
  <c r="H2" i="33"/>
  <c r="H2" i="24" s="1"/>
  <c r="G2" i="33"/>
  <c r="F2" i="33"/>
  <c r="F2" i="24" s="1"/>
  <c r="E2" i="33"/>
  <c r="E2" i="24" s="1"/>
  <c r="D2" i="33"/>
  <c r="D2" i="24" s="1"/>
  <c r="C191" i="33"/>
  <c r="C190" i="33"/>
  <c r="C189" i="33"/>
  <c r="C188" i="33"/>
  <c r="C187" i="33"/>
  <c r="C186" i="33"/>
  <c r="C185" i="33"/>
  <c r="C184" i="33"/>
  <c r="C183" i="33"/>
  <c r="C182" i="33"/>
  <c r="C181" i="33"/>
  <c r="C180" i="33"/>
  <c r="V178" i="33"/>
  <c r="R178" i="33"/>
  <c r="R308" i="33" s="1"/>
  <c r="R322" i="33" s="1"/>
  <c r="R336" i="33" s="1"/>
  <c r="R323" i="33" s="1"/>
  <c r="R36" i="24" s="1"/>
  <c r="P178" i="33"/>
  <c r="V177" i="33"/>
  <c r="AA177" i="33" s="1"/>
  <c r="R177" i="33"/>
  <c r="P177" i="33"/>
  <c r="C177" i="33"/>
  <c r="V176" i="33"/>
  <c r="AA176" i="33" s="1"/>
  <c r="R176" i="33"/>
  <c r="P176" i="33"/>
  <c r="C176" i="33"/>
  <c r="V175" i="33"/>
  <c r="AA175" i="33" s="1"/>
  <c r="R175" i="33"/>
  <c r="P175" i="33"/>
  <c r="C175" i="33"/>
  <c r="V174" i="33"/>
  <c r="AA174" i="33" s="1"/>
  <c r="R174" i="33"/>
  <c r="P174" i="33"/>
  <c r="C174" i="33"/>
  <c r="V173" i="33"/>
  <c r="AA173" i="33" s="1"/>
  <c r="R173" i="33"/>
  <c r="P173" i="33"/>
  <c r="C173" i="33"/>
  <c r="V172" i="33"/>
  <c r="AA172" i="33" s="1"/>
  <c r="R172" i="33"/>
  <c r="R302" i="33" s="1"/>
  <c r="R316" i="33" s="1"/>
  <c r="R330" i="33" s="1"/>
  <c r="P172" i="33"/>
  <c r="C172" i="33"/>
  <c r="V171" i="33"/>
  <c r="AA171" i="33" s="1"/>
  <c r="R171" i="33"/>
  <c r="R301" i="33" s="1"/>
  <c r="R315" i="33" s="1"/>
  <c r="R329" i="33" s="1"/>
  <c r="P171" i="33"/>
  <c r="C171" i="33"/>
  <c r="V170" i="33"/>
  <c r="AA170" i="33" s="1"/>
  <c r="R170" i="33"/>
  <c r="P170" i="33"/>
  <c r="C170" i="33"/>
  <c r="V169" i="33"/>
  <c r="AA169" i="33" s="1"/>
  <c r="R169" i="33"/>
  <c r="P169" i="33"/>
  <c r="C169" i="33"/>
  <c r="V168" i="33"/>
  <c r="AA168" i="33" s="1"/>
  <c r="R168" i="33"/>
  <c r="P168" i="33"/>
  <c r="C168" i="33"/>
  <c r="V167" i="33"/>
  <c r="AA167" i="33" s="1"/>
  <c r="R167" i="33"/>
  <c r="R297" i="33" s="1"/>
  <c r="R311" i="33" s="1"/>
  <c r="R325" i="33" s="1"/>
  <c r="P167" i="33"/>
  <c r="C167" i="33"/>
  <c r="V166" i="33"/>
  <c r="AA166" i="33" s="1"/>
  <c r="R166" i="33"/>
  <c r="P166" i="33"/>
  <c r="C166" i="33"/>
  <c r="Z136" i="33"/>
  <c r="V136" i="33"/>
  <c r="V164" i="33" s="1"/>
  <c r="V151" i="33" s="1"/>
  <c r="V20" i="24" s="1"/>
  <c r="T136" i="33"/>
  <c r="P136" i="33"/>
  <c r="P164" i="33" s="1"/>
  <c r="P151" i="33" s="1"/>
  <c r="P20" i="24" s="1"/>
  <c r="Z135" i="33"/>
  <c r="V135" i="33"/>
  <c r="T135" i="33"/>
  <c r="P135" i="33"/>
  <c r="P163" i="33" s="1"/>
  <c r="C135" i="33"/>
  <c r="Z134" i="33"/>
  <c r="V134" i="33"/>
  <c r="T134" i="33"/>
  <c r="P134" i="33"/>
  <c r="P162" i="33" s="1"/>
  <c r="C134" i="33"/>
  <c r="Z133" i="33"/>
  <c r="V133" i="33"/>
  <c r="T133" i="33"/>
  <c r="P133" i="33"/>
  <c r="P161" i="33" s="1"/>
  <c r="C133" i="33"/>
  <c r="Z132" i="33"/>
  <c r="V132" i="33"/>
  <c r="T132" i="33"/>
  <c r="P132" i="33"/>
  <c r="P160" i="33" s="1"/>
  <c r="C132" i="33"/>
  <c r="Z131" i="33"/>
  <c r="V131" i="33"/>
  <c r="T131" i="33"/>
  <c r="P131" i="33"/>
  <c r="P159" i="33" s="1"/>
  <c r="C131" i="33"/>
  <c r="Z130" i="33"/>
  <c r="V130" i="33"/>
  <c r="T130" i="33"/>
  <c r="P130" i="33"/>
  <c r="P158" i="33" s="1"/>
  <c r="C130" i="33"/>
  <c r="Z129" i="33"/>
  <c r="V129" i="33"/>
  <c r="T129" i="33"/>
  <c r="P129" i="33"/>
  <c r="P157" i="33" s="1"/>
  <c r="C129" i="33"/>
  <c r="Z128" i="33"/>
  <c r="V128" i="33"/>
  <c r="T128" i="33"/>
  <c r="P128" i="33"/>
  <c r="P156" i="33" s="1"/>
  <c r="C128" i="33"/>
  <c r="Z127" i="33"/>
  <c r="V127" i="33"/>
  <c r="T127" i="33"/>
  <c r="P127" i="33"/>
  <c r="P155" i="33" s="1"/>
  <c r="C127" i="33"/>
  <c r="Z126" i="33"/>
  <c r="V126" i="33"/>
  <c r="T126" i="33"/>
  <c r="P126" i="33"/>
  <c r="P154" i="33" s="1"/>
  <c r="C126" i="33"/>
  <c r="Z125" i="33"/>
  <c r="V125" i="33"/>
  <c r="T125" i="33"/>
  <c r="P125" i="33"/>
  <c r="P153" i="33" s="1"/>
  <c r="C125" i="33"/>
  <c r="Z124" i="33"/>
  <c r="V124" i="33"/>
  <c r="T124" i="33"/>
  <c r="P124" i="33"/>
  <c r="P152" i="33" s="1"/>
  <c r="C124" i="33"/>
  <c r="L208" i="33"/>
  <c r="L195" i="33" s="1"/>
  <c r="L25" i="24" s="1"/>
  <c r="V121" i="33"/>
  <c r="R121" i="33"/>
  <c r="P121" i="33"/>
  <c r="C121" i="33"/>
  <c r="V120" i="33"/>
  <c r="V148" i="33" s="1"/>
  <c r="AA148" i="33" s="1"/>
  <c r="R120" i="33"/>
  <c r="P120" i="33"/>
  <c r="C120" i="33"/>
  <c r="V119" i="33"/>
  <c r="V147" i="33" s="1"/>
  <c r="AA147" i="33" s="1"/>
  <c r="R119" i="33"/>
  <c r="P119" i="33"/>
  <c r="C119" i="33"/>
  <c r="V118" i="33"/>
  <c r="V146" i="33" s="1"/>
  <c r="AA146" i="33" s="1"/>
  <c r="R118" i="33"/>
  <c r="P118" i="33"/>
  <c r="C118" i="33"/>
  <c r="V117" i="33"/>
  <c r="R117" i="33"/>
  <c r="P117" i="33"/>
  <c r="C117" i="33"/>
  <c r="V116" i="33"/>
  <c r="V144" i="33" s="1"/>
  <c r="AA144" i="33" s="1"/>
  <c r="R116" i="33"/>
  <c r="P116" i="33"/>
  <c r="C116" i="33"/>
  <c r="V115" i="33"/>
  <c r="R115" i="33"/>
  <c r="P115" i="33"/>
  <c r="C115" i="33"/>
  <c r="V114" i="33"/>
  <c r="V142" i="33" s="1"/>
  <c r="AA142" i="33" s="1"/>
  <c r="R114" i="33"/>
  <c r="P114" i="33"/>
  <c r="C114" i="33"/>
  <c r="V113" i="33"/>
  <c r="R113" i="33"/>
  <c r="P113" i="33"/>
  <c r="C113" i="33"/>
  <c r="V112" i="33"/>
  <c r="R112" i="33"/>
  <c r="P112" i="33"/>
  <c r="C112" i="33"/>
  <c r="V111" i="33"/>
  <c r="V139" i="33" s="1"/>
  <c r="AA139" i="33" s="1"/>
  <c r="R111" i="33"/>
  <c r="P111" i="33"/>
  <c r="C111" i="33"/>
  <c r="V110" i="33"/>
  <c r="V138" i="33" s="1"/>
  <c r="AA138" i="33" s="1"/>
  <c r="R110" i="33"/>
  <c r="P110" i="33"/>
  <c r="C110" i="33"/>
  <c r="AC108" i="33"/>
  <c r="AA108" i="33"/>
  <c r="Z108" i="33"/>
  <c r="Y108" i="33"/>
  <c r="T108" i="33"/>
  <c r="S108" i="33"/>
  <c r="L108" i="33"/>
  <c r="AC107" i="33"/>
  <c r="AA107" i="33"/>
  <c r="Z107" i="33"/>
  <c r="Y107" i="33"/>
  <c r="T107" i="33"/>
  <c r="S107" i="33"/>
  <c r="L107" i="33"/>
  <c r="C107" i="33"/>
  <c r="AC106" i="33"/>
  <c r="AA106" i="33"/>
  <c r="Z106" i="33"/>
  <c r="Y106" i="33"/>
  <c r="T106" i="33"/>
  <c r="S106" i="33"/>
  <c r="L106" i="33"/>
  <c r="C106" i="33"/>
  <c r="AC105" i="33"/>
  <c r="AA105" i="33"/>
  <c r="Z105" i="33"/>
  <c r="Y105" i="33"/>
  <c r="T105" i="33"/>
  <c r="S105" i="33"/>
  <c r="L105" i="33"/>
  <c r="C105" i="33"/>
  <c r="AC104" i="33"/>
  <c r="AA104" i="33"/>
  <c r="Z104" i="33"/>
  <c r="Y104" i="33"/>
  <c r="T104" i="33"/>
  <c r="S104" i="33"/>
  <c r="L104" i="33"/>
  <c r="C104" i="33"/>
  <c r="AC103" i="33"/>
  <c r="AA103" i="33"/>
  <c r="Z103" i="33"/>
  <c r="Y103" i="33"/>
  <c r="T103" i="33"/>
  <c r="S103" i="33"/>
  <c r="L103" i="33"/>
  <c r="C103" i="33"/>
  <c r="AC102" i="33"/>
  <c r="AA102" i="33"/>
  <c r="Z102" i="33"/>
  <c r="Y102" i="33"/>
  <c r="T102" i="33"/>
  <c r="S102" i="33"/>
  <c r="L102" i="33"/>
  <c r="C102" i="33"/>
  <c r="AC101" i="33"/>
  <c r="AA101" i="33"/>
  <c r="Z101" i="33"/>
  <c r="Y101" i="33"/>
  <c r="T101" i="33"/>
  <c r="S101" i="33"/>
  <c r="L101" i="33"/>
  <c r="C101" i="33"/>
  <c r="AC100" i="33"/>
  <c r="AA100" i="33"/>
  <c r="Z100" i="33"/>
  <c r="Y100" i="33"/>
  <c r="T100" i="33"/>
  <c r="S100" i="33"/>
  <c r="L100" i="33"/>
  <c r="C100" i="33"/>
  <c r="AC99" i="33"/>
  <c r="AA99" i="33"/>
  <c r="Z99" i="33"/>
  <c r="Y99" i="33"/>
  <c r="T99" i="33"/>
  <c r="S99" i="33"/>
  <c r="L99" i="33"/>
  <c r="C99" i="33"/>
  <c r="AC98" i="33"/>
  <c r="AA98" i="33"/>
  <c r="Z98" i="33"/>
  <c r="Y98" i="33"/>
  <c r="T98" i="33"/>
  <c r="S98" i="33"/>
  <c r="L98" i="33"/>
  <c r="C98" i="33"/>
  <c r="AC97" i="33"/>
  <c r="AA97" i="33"/>
  <c r="Z97" i="33"/>
  <c r="Y97" i="33"/>
  <c r="T97" i="33"/>
  <c r="S97" i="33"/>
  <c r="L97" i="33"/>
  <c r="C97" i="33"/>
  <c r="AC96" i="33"/>
  <c r="AA96" i="33"/>
  <c r="Z96" i="33"/>
  <c r="Y96" i="33"/>
  <c r="T96" i="33"/>
  <c r="S96" i="33"/>
  <c r="L96" i="33"/>
  <c r="C96" i="33"/>
  <c r="V92" i="33"/>
  <c r="R92" i="33"/>
  <c r="P92" i="33"/>
  <c r="G92" i="33"/>
  <c r="G108" i="33" s="1"/>
  <c r="G122" i="33" s="1"/>
  <c r="F92" i="33"/>
  <c r="F366" i="33" s="1"/>
  <c r="F380" i="33" s="1"/>
  <c r="V91" i="33"/>
  <c r="AA91" i="33" s="1"/>
  <c r="R91" i="33"/>
  <c r="P91" i="33"/>
  <c r="G91" i="33"/>
  <c r="F91" i="33"/>
  <c r="F365" i="33" s="1"/>
  <c r="F379" i="33" s="1"/>
  <c r="F393" i="33" s="1"/>
  <c r="C91" i="33"/>
  <c r="V90" i="33"/>
  <c r="AA90" i="33" s="1"/>
  <c r="R90" i="33"/>
  <c r="P90" i="33"/>
  <c r="G90" i="33"/>
  <c r="F90" i="33"/>
  <c r="F364" i="33" s="1"/>
  <c r="F378" i="33" s="1"/>
  <c r="F392" i="33" s="1"/>
  <c r="C90" i="33"/>
  <c r="V89" i="33"/>
  <c r="AA89" i="33" s="1"/>
  <c r="R89" i="33"/>
  <c r="P89" i="33"/>
  <c r="G89" i="33"/>
  <c r="F89" i="33"/>
  <c r="F363" i="33" s="1"/>
  <c r="F377" i="33" s="1"/>
  <c r="F391" i="33" s="1"/>
  <c r="C89" i="33"/>
  <c r="V88" i="33"/>
  <c r="AA88" i="33" s="1"/>
  <c r="R88" i="33"/>
  <c r="P88" i="33"/>
  <c r="G88" i="33"/>
  <c r="F88" i="33"/>
  <c r="F362" i="33" s="1"/>
  <c r="F376" i="33" s="1"/>
  <c r="F390" i="33" s="1"/>
  <c r="C88" i="33"/>
  <c r="V87" i="33"/>
  <c r="AA87" i="33" s="1"/>
  <c r="R87" i="33"/>
  <c r="P87" i="33"/>
  <c r="G87" i="33"/>
  <c r="F87" i="33"/>
  <c r="F361" i="33" s="1"/>
  <c r="F375" i="33" s="1"/>
  <c r="F389" i="33" s="1"/>
  <c r="C87" i="33"/>
  <c r="V86" i="33"/>
  <c r="AA86" i="33" s="1"/>
  <c r="R86" i="33"/>
  <c r="P86" i="33"/>
  <c r="G86" i="33"/>
  <c r="F86" i="33"/>
  <c r="F360" i="33" s="1"/>
  <c r="F374" i="33" s="1"/>
  <c r="F388" i="33" s="1"/>
  <c r="C86" i="33"/>
  <c r="V85" i="33"/>
  <c r="AA85" i="33" s="1"/>
  <c r="R85" i="33"/>
  <c r="P85" i="33"/>
  <c r="G85" i="33"/>
  <c r="F85" i="33"/>
  <c r="F359" i="33" s="1"/>
  <c r="F373" i="33" s="1"/>
  <c r="F387" i="33" s="1"/>
  <c r="C85" i="33"/>
  <c r="V84" i="33"/>
  <c r="AA84" i="33" s="1"/>
  <c r="R84" i="33"/>
  <c r="P84" i="33"/>
  <c r="G84" i="33"/>
  <c r="F84" i="33"/>
  <c r="F358" i="33" s="1"/>
  <c r="F372" i="33" s="1"/>
  <c r="F386" i="33" s="1"/>
  <c r="C84" i="33"/>
  <c r="V83" i="33"/>
  <c r="AA83" i="33" s="1"/>
  <c r="R83" i="33"/>
  <c r="P83" i="33"/>
  <c r="G83" i="33"/>
  <c r="F83" i="33"/>
  <c r="F357" i="33" s="1"/>
  <c r="F371" i="33" s="1"/>
  <c r="F385" i="33" s="1"/>
  <c r="C83" i="33"/>
  <c r="V82" i="33"/>
  <c r="AA82" i="33" s="1"/>
  <c r="R82" i="33"/>
  <c r="P82" i="33"/>
  <c r="G82" i="33"/>
  <c r="F82" i="33"/>
  <c r="F356" i="33" s="1"/>
  <c r="F370" i="33" s="1"/>
  <c r="F384" i="33" s="1"/>
  <c r="C82" i="33"/>
  <c r="V81" i="33"/>
  <c r="AA81" i="33" s="1"/>
  <c r="R81" i="33"/>
  <c r="P81" i="33"/>
  <c r="G81" i="33"/>
  <c r="F81" i="33"/>
  <c r="F355" i="33" s="1"/>
  <c r="F369" i="33" s="1"/>
  <c r="F383" i="33" s="1"/>
  <c r="C81" i="33"/>
  <c r="V80" i="33"/>
  <c r="R80" i="33"/>
  <c r="P80" i="33"/>
  <c r="G80" i="33"/>
  <c r="F80" i="33"/>
  <c r="C80" i="33"/>
  <c r="AC50" i="33"/>
  <c r="AC64" i="33" s="1"/>
  <c r="AC51" i="33" s="1"/>
  <c r="AC11" i="24" s="1"/>
  <c r="AB50" i="33"/>
  <c r="AB64" i="33" s="1"/>
  <c r="AB51" i="33" s="1"/>
  <c r="AB11" i="24" s="1"/>
  <c r="Z50" i="33"/>
  <c r="Z64" i="33" s="1"/>
  <c r="Z51" i="33" s="1"/>
  <c r="Z11" i="24" s="1"/>
  <c r="Y50" i="33"/>
  <c r="Y64" i="33" s="1"/>
  <c r="Y51" i="33" s="1"/>
  <c r="Y11" i="24" s="1"/>
  <c r="V50" i="33"/>
  <c r="V64" i="33" s="1"/>
  <c r="T50" i="33"/>
  <c r="T64" i="33" s="1"/>
  <c r="T51" i="33" s="1"/>
  <c r="T11" i="24" s="1"/>
  <c r="S50" i="33"/>
  <c r="S64" i="33" s="1"/>
  <c r="S51" i="33" s="1"/>
  <c r="S11" i="24" s="1"/>
  <c r="P50" i="33"/>
  <c r="P64" i="33" s="1"/>
  <c r="D50" i="33"/>
  <c r="D64" i="33" s="1"/>
  <c r="D51" i="33" s="1"/>
  <c r="D11" i="24" s="1"/>
  <c r="AC49" i="33"/>
  <c r="AC63" i="33" s="1"/>
  <c r="AB49" i="33"/>
  <c r="AB63" i="33" s="1"/>
  <c r="Z49" i="33"/>
  <c r="Z63" i="33" s="1"/>
  <c r="Y49" i="33"/>
  <c r="Y63" i="33" s="1"/>
  <c r="V49" i="33"/>
  <c r="T49" i="33"/>
  <c r="T63" i="33" s="1"/>
  <c r="S49" i="33"/>
  <c r="S63" i="33" s="1"/>
  <c r="P49" i="33"/>
  <c r="P63" i="33" s="1"/>
  <c r="D49" i="33"/>
  <c r="C49" i="33"/>
  <c r="AC48" i="33"/>
  <c r="AC62" i="33" s="1"/>
  <c r="AB48" i="33"/>
  <c r="AB62" i="33" s="1"/>
  <c r="Z48" i="33"/>
  <c r="Z62" i="33" s="1"/>
  <c r="Y48" i="33"/>
  <c r="Y62" i="33" s="1"/>
  <c r="V48" i="33"/>
  <c r="T48" i="33"/>
  <c r="T62" i="33" s="1"/>
  <c r="S48" i="33"/>
  <c r="S62" i="33" s="1"/>
  <c r="P48" i="33"/>
  <c r="P62" i="33" s="1"/>
  <c r="D48" i="33"/>
  <c r="C48" i="33"/>
  <c r="AC47" i="33"/>
  <c r="AC61" i="33" s="1"/>
  <c r="AB47" i="33"/>
  <c r="AB61" i="33" s="1"/>
  <c r="Z47" i="33"/>
  <c r="Z61" i="33" s="1"/>
  <c r="Y47" i="33"/>
  <c r="Y61" i="33" s="1"/>
  <c r="V47" i="33"/>
  <c r="T47" i="33"/>
  <c r="T61" i="33" s="1"/>
  <c r="S47" i="33"/>
  <c r="S61" i="33" s="1"/>
  <c r="P47" i="33"/>
  <c r="P61" i="33" s="1"/>
  <c r="D47" i="33"/>
  <c r="C47" i="33"/>
  <c r="AC46" i="33"/>
  <c r="AC60" i="33" s="1"/>
  <c r="AB46" i="33"/>
  <c r="AB60" i="33" s="1"/>
  <c r="Z46" i="33"/>
  <c r="Z60" i="33" s="1"/>
  <c r="Y46" i="33"/>
  <c r="Y60" i="33" s="1"/>
  <c r="V46" i="33"/>
  <c r="T46" i="33"/>
  <c r="T60" i="33" s="1"/>
  <c r="S46" i="33"/>
  <c r="S60" i="33" s="1"/>
  <c r="P46" i="33"/>
  <c r="P60" i="33" s="1"/>
  <c r="D46" i="33"/>
  <c r="C46" i="33"/>
  <c r="AC45" i="33"/>
  <c r="AC59" i="33" s="1"/>
  <c r="AB45" i="33"/>
  <c r="AB59" i="33" s="1"/>
  <c r="Z45" i="33"/>
  <c r="Z59" i="33" s="1"/>
  <c r="Y45" i="33"/>
  <c r="Y59" i="33" s="1"/>
  <c r="V45" i="33"/>
  <c r="T45" i="33"/>
  <c r="T59" i="33" s="1"/>
  <c r="S45" i="33"/>
  <c r="S59" i="33" s="1"/>
  <c r="P45" i="33"/>
  <c r="P59" i="33" s="1"/>
  <c r="D45" i="33"/>
  <c r="C45" i="33"/>
  <c r="AC44" i="33"/>
  <c r="AC58" i="33" s="1"/>
  <c r="AB44" i="33"/>
  <c r="AB58" i="33" s="1"/>
  <c r="Z44" i="33"/>
  <c r="Z58" i="33" s="1"/>
  <c r="Y44" i="33"/>
  <c r="Y58" i="33" s="1"/>
  <c r="V44" i="33"/>
  <c r="T44" i="33"/>
  <c r="T58" i="33" s="1"/>
  <c r="S44" i="33"/>
  <c r="S58" i="33" s="1"/>
  <c r="P44" i="33"/>
  <c r="P58" i="33" s="1"/>
  <c r="D44" i="33"/>
  <c r="C44" i="33"/>
  <c r="AC43" i="33"/>
  <c r="AC57" i="33" s="1"/>
  <c r="AB43" i="33"/>
  <c r="AB57" i="33" s="1"/>
  <c r="Z43" i="33"/>
  <c r="Z57" i="33" s="1"/>
  <c r="Y43" i="33"/>
  <c r="Y57" i="33" s="1"/>
  <c r="V43" i="33"/>
  <c r="T43" i="33"/>
  <c r="T57" i="33" s="1"/>
  <c r="S43" i="33"/>
  <c r="S57" i="33" s="1"/>
  <c r="P43" i="33"/>
  <c r="P57" i="33" s="1"/>
  <c r="D43" i="33"/>
  <c r="C43" i="33"/>
  <c r="AC42" i="33"/>
  <c r="AC56" i="33" s="1"/>
  <c r="AB42" i="33"/>
  <c r="AB56" i="33" s="1"/>
  <c r="Z42" i="33"/>
  <c r="Z56" i="33" s="1"/>
  <c r="Y42" i="33"/>
  <c r="Y56" i="33" s="1"/>
  <c r="V42" i="33"/>
  <c r="T42" i="33"/>
  <c r="T56" i="33" s="1"/>
  <c r="S42" i="33"/>
  <c r="S56" i="33" s="1"/>
  <c r="P42" i="33"/>
  <c r="P56" i="33" s="1"/>
  <c r="D42" i="33"/>
  <c r="C42" i="33"/>
  <c r="AC41" i="33"/>
  <c r="AC55" i="33" s="1"/>
  <c r="AB41" i="33"/>
  <c r="AB55" i="33" s="1"/>
  <c r="Z41" i="33"/>
  <c r="Z55" i="33" s="1"/>
  <c r="Y41" i="33"/>
  <c r="Y55" i="33" s="1"/>
  <c r="V41" i="33"/>
  <c r="T41" i="33"/>
  <c r="T55" i="33" s="1"/>
  <c r="S41" i="33"/>
  <c r="S55" i="33" s="1"/>
  <c r="P41" i="33"/>
  <c r="P55" i="33" s="1"/>
  <c r="D41" i="33"/>
  <c r="C41" i="33"/>
  <c r="AC40" i="33"/>
  <c r="AC54" i="33" s="1"/>
  <c r="AB40" i="33"/>
  <c r="AB54" i="33" s="1"/>
  <c r="Z40" i="33"/>
  <c r="Z54" i="33" s="1"/>
  <c r="Y40" i="33"/>
  <c r="Y54" i="33" s="1"/>
  <c r="V40" i="33"/>
  <c r="T40" i="33"/>
  <c r="T54" i="33" s="1"/>
  <c r="S40" i="33"/>
  <c r="S54" i="33" s="1"/>
  <c r="P40" i="33"/>
  <c r="P54" i="33" s="1"/>
  <c r="D40" i="33"/>
  <c r="C40" i="33"/>
  <c r="AC39" i="33"/>
  <c r="AC53" i="33" s="1"/>
  <c r="AB39" i="33"/>
  <c r="AB53" i="33" s="1"/>
  <c r="Z39" i="33"/>
  <c r="Z53" i="33" s="1"/>
  <c r="Y39" i="33"/>
  <c r="Y53" i="33" s="1"/>
  <c r="V39" i="33"/>
  <c r="T39" i="33"/>
  <c r="T53" i="33" s="1"/>
  <c r="S39" i="33"/>
  <c r="S53" i="33" s="1"/>
  <c r="P39" i="33"/>
  <c r="P53" i="33" s="1"/>
  <c r="D39" i="33"/>
  <c r="C39" i="33"/>
  <c r="AC38" i="33"/>
  <c r="AC52" i="33" s="1"/>
  <c r="AB38" i="33"/>
  <c r="AB52" i="33" s="1"/>
  <c r="Z38" i="33"/>
  <c r="Z52" i="33" s="1"/>
  <c r="Y38" i="33"/>
  <c r="Y52" i="33" s="1"/>
  <c r="V38" i="33"/>
  <c r="V52" i="33" s="1"/>
  <c r="T38" i="33"/>
  <c r="T52" i="33" s="1"/>
  <c r="S38" i="33"/>
  <c r="S52" i="33" s="1"/>
  <c r="P38" i="33"/>
  <c r="P52" i="33" s="1"/>
  <c r="D38" i="33"/>
  <c r="C38" i="33"/>
  <c r="AA36" i="33"/>
  <c r="AA78" i="33" s="1"/>
  <c r="AA65" i="33" s="1"/>
  <c r="AA12" i="24" s="1"/>
  <c r="G36" i="33"/>
  <c r="G78" i="33" s="1"/>
  <c r="G65" i="33" s="1"/>
  <c r="G12" i="24" s="1"/>
  <c r="AA35" i="33"/>
  <c r="AA77" i="33" s="1"/>
  <c r="R35" i="33"/>
  <c r="G35" i="33"/>
  <c r="G77" i="33" s="1"/>
  <c r="C35" i="33"/>
  <c r="AA34" i="33"/>
  <c r="AA76" i="33" s="1"/>
  <c r="R34" i="33"/>
  <c r="G34" i="33"/>
  <c r="G76" i="33" s="1"/>
  <c r="C34" i="33"/>
  <c r="AA33" i="33"/>
  <c r="AA75" i="33" s="1"/>
  <c r="R33" i="33"/>
  <c r="G33" i="33"/>
  <c r="G75" i="33" s="1"/>
  <c r="C33" i="33"/>
  <c r="AA32" i="33"/>
  <c r="AA74" i="33" s="1"/>
  <c r="R32" i="33"/>
  <c r="G32" i="33"/>
  <c r="G74" i="33" s="1"/>
  <c r="C32" i="33"/>
  <c r="AA31" i="33"/>
  <c r="AA73" i="33" s="1"/>
  <c r="R31" i="33"/>
  <c r="G31" i="33"/>
  <c r="G73" i="33" s="1"/>
  <c r="C31" i="33"/>
  <c r="AA30" i="33"/>
  <c r="AA72" i="33" s="1"/>
  <c r="R30" i="33"/>
  <c r="G30" i="33"/>
  <c r="G72" i="33" s="1"/>
  <c r="C30" i="33"/>
  <c r="AA29" i="33"/>
  <c r="AA71" i="33" s="1"/>
  <c r="R29" i="33"/>
  <c r="G29" i="33"/>
  <c r="G71" i="33" s="1"/>
  <c r="C29" i="33"/>
  <c r="AA28" i="33"/>
  <c r="AA70" i="33" s="1"/>
  <c r="R28" i="33"/>
  <c r="G28" i="33"/>
  <c r="G70" i="33" s="1"/>
  <c r="C28" i="33"/>
  <c r="AA27" i="33"/>
  <c r="AA69" i="33" s="1"/>
  <c r="R27" i="33"/>
  <c r="G27" i="33"/>
  <c r="G69" i="33" s="1"/>
  <c r="C27" i="33"/>
  <c r="AA26" i="33"/>
  <c r="AA68" i="33" s="1"/>
  <c r="R26" i="33"/>
  <c r="G26" i="33"/>
  <c r="G68" i="33" s="1"/>
  <c r="C26" i="33"/>
  <c r="AA25" i="33"/>
  <c r="AA67" i="33" s="1"/>
  <c r="R25" i="33"/>
  <c r="G25" i="33"/>
  <c r="G67" i="33" s="1"/>
  <c r="C25" i="33"/>
  <c r="AA24" i="33"/>
  <c r="AA66" i="33" s="1"/>
  <c r="R24" i="33"/>
  <c r="G24" i="33"/>
  <c r="G66" i="33" s="1"/>
  <c r="C24" i="33"/>
  <c r="AB22" i="33"/>
  <c r="Z22" i="33"/>
  <c r="Y22" i="33"/>
  <c r="X22" i="33"/>
  <c r="X108" i="33" s="1"/>
  <c r="W22" i="33"/>
  <c r="W122" i="33" s="1"/>
  <c r="U22" i="33"/>
  <c r="T22" i="33"/>
  <c r="S22" i="33"/>
  <c r="Q22" i="33"/>
  <c r="Q108" i="33" s="1"/>
  <c r="Q122" i="33" s="1"/>
  <c r="Q150" i="33" s="1"/>
  <c r="Q137" i="33" s="1"/>
  <c r="Q19" i="24" s="1"/>
  <c r="AB21" i="33"/>
  <c r="AA21" i="33"/>
  <c r="Z21" i="33"/>
  <c r="Y21" i="33"/>
  <c r="X21" i="33"/>
  <c r="X107" i="33" s="1"/>
  <c r="W21" i="33"/>
  <c r="U21" i="33"/>
  <c r="AC21" i="33" s="1"/>
  <c r="T21" i="33"/>
  <c r="S21" i="33"/>
  <c r="Q21" i="33"/>
  <c r="C21" i="33"/>
  <c r="AB20" i="33"/>
  <c r="AA20" i="33"/>
  <c r="Z20" i="33"/>
  <c r="Y20" i="33"/>
  <c r="X20" i="33"/>
  <c r="X106" i="33" s="1"/>
  <c r="W20" i="33"/>
  <c r="U20" i="33"/>
  <c r="AC20" i="33" s="1"/>
  <c r="T20" i="33"/>
  <c r="S20" i="33"/>
  <c r="Q20" i="33"/>
  <c r="C20" i="33"/>
  <c r="AB19" i="33"/>
  <c r="AA19" i="33"/>
  <c r="Z19" i="33"/>
  <c r="Y19" i="33"/>
  <c r="X19" i="33"/>
  <c r="X105" i="33" s="1"/>
  <c r="W19" i="33"/>
  <c r="U19" i="33"/>
  <c r="AC19" i="33" s="1"/>
  <c r="T19" i="33"/>
  <c r="S19" i="33"/>
  <c r="Q19" i="33"/>
  <c r="Q105" i="33" s="1"/>
  <c r="Q119" i="33" s="1"/>
  <c r="C19" i="33"/>
  <c r="AB18" i="33"/>
  <c r="AA18" i="33"/>
  <c r="Z18" i="33"/>
  <c r="Y18" i="33"/>
  <c r="X18" i="33"/>
  <c r="X104" i="33" s="1"/>
  <c r="W18" i="33"/>
  <c r="U18" i="33"/>
  <c r="AC18" i="33" s="1"/>
  <c r="T18" i="33"/>
  <c r="S18" i="33"/>
  <c r="Q18" i="33"/>
  <c r="C18" i="33"/>
  <c r="AB17" i="33"/>
  <c r="AA17" i="33"/>
  <c r="Z17" i="33"/>
  <c r="Y17" i="33"/>
  <c r="X17" i="33"/>
  <c r="X103" i="33" s="1"/>
  <c r="W17" i="33"/>
  <c r="U17" i="33"/>
  <c r="AC17" i="33" s="1"/>
  <c r="T17" i="33"/>
  <c r="S17" i="33"/>
  <c r="Q17" i="33"/>
  <c r="Q103" i="33" s="1"/>
  <c r="C17" i="33"/>
  <c r="AB16" i="33"/>
  <c r="AA16" i="33"/>
  <c r="Z16" i="33"/>
  <c r="Y16" i="33"/>
  <c r="X16" i="33"/>
  <c r="X102" i="33" s="1"/>
  <c r="W16" i="33"/>
  <c r="U16" i="33"/>
  <c r="AC16" i="33" s="1"/>
  <c r="T16" i="33"/>
  <c r="S16" i="33"/>
  <c r="Q16" i="33"/>
  <c r="C16" i="33"/>
  <c r="AB15" i="33"/>
  <c r="AA15" i="33"/>
  <c r="Z15" i="33"/>
  <c r="Y15" i="33"/>
  <c r="X15" i="33"/>
  <c r="X101" i="33" s="1"/>
  <c r="W15" i="33"/>
  <c r="U15" i="33"/>
  <c r="AC15" i="33" s="1"/>
  <c r="T15" i="33"/>
  <c r="S15" i="33"/>
  <c r="Q15" i="33"/>
  <c r="Q101" i="33" s="1"/>
  <c r="Q115" i="33" s="1"/>
  <c r="C15" i="33"/>
  <c r="AB14" i="33"/>
  <c r="AA14" i="33"/>
  <c r="Z14" i="33"/>
  <c r="Y14" i="33"/>
  <c r="X14" i="33"/>
  <c r="X100" i="33" s="1"/>
  <c r="W14" i="33"/>
  <c r="U14" i="33"/>
  <c r="AC14" i="33" s="1"/>
  <c r="T14" i="33"/>
  <c r="S14" i="33"/>
  <c r="Q14" i="33"/>
  <c r="C14" i="33"/>
  <c r="AB13" i="33"/>
  <c r="AA13" i="33"/>
  <c r="Z13" i="33"/>
  <c r="Y13" i="33"/>
  <c r="X13" i="33"/>
  <c r="X99" i="33" s="1"/>
  <c r="W13" i="33"/>
  <c r="U13" i="33"/>
  <c r="AC13" i="33" s="1"/>
  <c r="T13" i="33"/>
  <c r="S13" i="33"/>
  <c r="Q13" i="33"/>
  <c r="C13" i="33"/>
  <c r="AB12" i="33"/>
  <c r="AA12" i="33"/>
  <c r="Z12" i="33"/>
  <c r="Y12" i="33"/>
  <c r="X12" i="33"/>
  <c r="X98" i="33" s="1"/>
  <c r="W12" i="33"/>
  <c r="U12" i="33"/>
  <c r="AC12" i="33" s="1"/>
  <c r="T12" i="33"/>
  <c r="S12" i="33"/>
  <c r="Q12" i="33"/>
  <c r="Q98" i="33" s="1"/>
  <c r="C12" i="33"/>
  <c r="AB11" i="33"/>
  <c r="AA11" i="33"/>
  <c r="Z11" i="33"/>
  <c r="Y11" i="33"/>
  <c r="X11" i="33"/>
  <c r="X97" i="33" s="1"/>
  <c r="W11" i="33"/>
  <c r="U11" i="33"/>
  <c r="AC11" i="33" s="1"/>
  <c r="T11" i="33"/>
  <c r="S11" i="33"/>
  <c r="Q11" i="33"/>
  <c r="C11" i="33"/>
  <c r="AB10" i="33"/>
  <c r="AA10" i="33"/>
  <c r="Z10" i="33"/>
  <c r="Y10" i="33"/>
  <c r="X10" i="33"/>
  <c r="W10" i="33"/>
  <c r="U10" i="33"/>
  <c r="T10" i="33"/>
  <c r="S10" i="33"/>
  <c r="Q10" i="33"/>
  <c r="C10" i="33"/>
  <c r="AC40" i="24" l="1"/>
  <c r="AA40" i="24"/>
  <c r="F394" i="33"/>
  <c r="F381" i="33" s="1"/>
  <c r="F42" i="24" s="1"/>
  <c r="F367" i="33"/>
  <c r="F41" i="24" s="1"/>
  <c r="R67" i="33"/>
  <c r="R69" i="33"/>
  <c r="R73" i="33"/>
  <c r="R77" i="33"/>
  <c r="R66" i="33"/>
  <c r="R68" i="33"/>
  <c r="R70" i="33"/>
  <c r="R72" i="33"/>
  <c r="R74" i="33"/>
  <c r="R76" i="33"/>
  <c r="R71" i="33"/>
  <c r="R75" i="33"/>
  <c r="R309" i="33"/>
  <c r="R35" i="24" s="1"/>
  <c r="AA134" i="33"/>
  <c r="V162" i="33"/>
  <c r="AA162" i="33" s="1"/>
  <c r="AA131" i="33"/>
  <c r="V159" i="33"/>
  <c r="AA159" i="33" s="1"/>
  <c r="AA164" i="33"/>
  <c r="AA151" i="33" s="1"/>
  <c r="AA20" i="24" s="1"/>
  <c r="AA128" i="33"/>
  <c r="V156" i="33"/>
  <c r="AA156" i="33" s="1"/>
  <c r="AA127" i="33"/>
  <c r="V155" i="33"/>
  <c r="AA155" i="33" s="1"/>
  <c r="AA135" i="33"/>
  <c r="V163" i="33"/>
  <c r="AA163" i="33" s="1"/>
  <c r="AA130" i="33"/>
  <c r="V158" i="33"/>
  <c r="AA158" i="33" s="1"/>
  <c r="AA124" i="33"/>
  <c r="V152" i="33"/>
  <c r="AA152" i="33" s="1"/>
  <c r="AA132" i="33"/>
  <c r="V160" i="33"/>
  <c r="AA160" i="33" s="1"/>
  <c r="AA126" i="33"/>
  <c r="V154" i="33"/>
  <c r="AA154" i="33" s="1"/>
  <c r="AA125" i="33"/>
  <c r="V153" i="33"/>
  <c r="AA153" i="33" s="1"/>
  <c r="AA133" i="33"/>
  <c r="V161" i="33"/>
  <c r="AA161" i="33" s="1"/>
  <c r="AA129" i="33"/>
  <c r="V157" i="33"/>
  <c r="AA157" i="33" s="1"/>
  <c r="Z141" i="33"/>
  <c r="T141" i="33"/>
  <c r="T147" i="33"/>
  <c r="Z147" i="33"/>
  <c r="AA113" i="33"/>
  <c r="V141" i="33"/>
  <c r="AA141" i="33" s="1"/>
  <c r="V185" i="33"/>
  <c r="AA185" i="33" s="1"/>
  <c r="V143" i="33"/>
  <c r="AA143" i="33" s="1"/>
  <c r="AA117" i="33"/>
  <c r="V145" i="33"/>
  <c r="AA145" i="33" s="1"/>
  <c r="V191" i="33"/>
  <c r="AA191" i="33" s="1"/>
  <c r="V149" i="33"/>
  <c r="AA149" i="33" s="1"/>
  <c r="Q189" i="33"/>
  <c r="Q147" i="33"/>
  <c r="P182" i="33"/>
  <c r="P140" i="33"/>
  <c r="P190" i="33"/>
  <c r="P148" i="33"/>
  <c r="T142" i="33"/>
  <c r="Z142" i="33"/>
  <c r="L204" i="33"/>
  <c r="L218" i="33" s="1"/>
  <c r="L232" i="33" s="1"/>
  <c r="Z146" i="33"/>
  <c r="T146" i="33"/>
  <c r="V182" i="33"/>
  <c r="AA182" i="33" s="1"/>
  <c r="V140" i="33"/>
  <c r="AA140" i="33" s="1"/>
  <c r="T139" i="33"/>
  <c r="Z139" i="33"/>
  <c r="Z143" i="33"/>
  <c r="T143" i="33"/>
  <c r="T149" i="33"/>
  <c r="Z149" i="33"/>
  <c r="P180" i="33"/>
  <c r="P138" i="33"/>
  <c r="P186" i="33"/>
  <c r="P144" i="33"/>
  <c r="Z140" i="33"/>
  <c r="T140" i="33"/>
  <c r="Q185" i="33"/>
  <c r="Q143" i="33"/>
  <c r="Z145" i="33"/>
  <c r="T145" i="33"/>
  <c r="P184" i="33"/>
  <c r="P142" i="33"/>
  <c r="P188" i="33"/>
  <c r="P146" i="33"/>
  <c r="Z138" i="33"/>
  <c r="T138" i="33"/>
  <c r="T144" i="33"/>
  <c r="Z144" i="33"/>
  <c r="L206" i="33"/>
  <c r="L220" i="33" s="1"/>
  <c r="L234" i="33" s="1"/>
  <c r="Z148" i="33"/>
  <c r="T148" i="33"/>
  <c r="P181" i="33"/>
  <c r="P139" i="33"/>
  <c r="P183" i="33"/>
  <c r="P141" i="33"/>
  <c r="P185" i="33"/>
  <c r="P143" i="33"/>
  <c r="P187" i="33"/>
  <c r="P145" i="33"/>
  <c r="P189" i="33"/>
  <c r="P147" i="33"/>
  <c r="P191" i="33"/>
  <c r="P149" i="33"/>
  <c r="V51" i="33"/>
  <c r="V11" i="24" s="1"/>
  <c r="P51" i="33"/>
  <c r="P11" i="24" s="1"/>
  <c r="G40" i="33"/>
  <c r="G54" i="33" s="1"/>
  <c r="D54" i="33"/>
  <c r="AA42" i="33"/>
  <c r="AA56" i="33" s="1"/>
  <c r="V56" i="33"/>
  <c r="G44" i="33"/>
  <c r="X44" i="33" s="1"/>
  <c r="X58" i="33" s="1"/>
  <c r="D58" i="33"/>
  <c r="AA46" i="33"/>
  <c r="AA60" i="33" s="1"/>
  <c r="V60" i="33"/>
  <c r="G48" i="33"/>
  <c r="G62" i="33" s="1"/>
  <c r="D62" i="33"/>
  <c r="G39" i="33"/>
  <c r="X39" i="33" s="1"/>
  <c r="X53" i="33" s="1"/>
  <c r="D53" i="33"/>
  <c r="AA41" i="33"/>
  <c r="AA55" i="33" s="1"/>
  <c r="V55" i="33"/>
  <c r="G41" i="33"/>
  <c r="U83" i="33" s="1"/>
  <c r="D55" i="33"/>
  <c r="G49" i="33"/>
  <c r="G63" i="33" s="1"/>
  <c r="D63" i="33"/>
  <c r="G2" i="24"/>
  <c r="G43" i="33"/>
  <c r="N43" i="33" s="1"/>
  <c r="N57" i="33" s="1"/>
  <c r="D57" i="33"/>
  <c r="AA45" i="33"/>
  <c r="AA59" i="33" s="1"/>
  <c r="V59" i="33"/>
  <c r="R2" i="24"/>
  <c r="AA39" i="33"/>
  <c r="AA53" i="33" s="1"/>
  <c r="V53" i="33"/>
  <c r="AA43" i="33"/>
  <c r="AA57" i="33" s="1"/>
  <c r="V57" i="33"/>
  <c r="G45" i="33"/>
  <c r="G59" i="33" s="1"/>
  <c r="D59" i="33"/>
  <c r="AA47" i="33"/>
  <c r="AA61" i="33" s="1"/>
  <c r="V61" i="33"/>
  <c r="G38" i="33"/>
  <c r="G52" i="33" s="1"/>
  <c r="D52" i="33"/>
  <c r="AA40" i="33"/>
  <c r="AA54" i="33" s="1"/>
  <c r="V54" i="33"/>
  <c r="G42" i="33"/>
  <c r="X42" i="33" s="1"/>
  <c r="X56" i="33" s="1"/>
  <c r="D56" i="33"/>
  <c r="AA44" i="33"/>
  <c r="AA58" i="33" s="1"/>
  <c r="V58" i="33"/>
  <c r="G46" i="33"/>
  <c r="W46" i="33" s="1"/>
  <c r="W260" i="33" s="1"/>
  <c r="D60" i="33"/>
  <c r="AA48" i="33"/>
  <c r="AA62" i="33" s="1"/>
  <c r="V62" i="33"/>
  <c r="P2" i="24"/>
  <c r="G47" i="33"/>
  <c r="G61" i="33" s="1"/>
  <c r="D61" i="33"/>
  <c r="AA49" i="33"/>
  <c r="AA63" i="33" s="1"/>
  <c r="V63" i="33"/>
  <c r="V2" i="24"/>
  <c r="Q2" i="24"/>
  <c r="AB25" i="33"/>
  <c r="AB67" i="33" s="1"/>
  <c r="AC29" i="33"/>
  <c r="AC71" i="33" s="1"/>
  <c r="X35" i="33"/>
  <c r="X77" i="33" s="1"/>
  <c r="T25" i="33"/>
  <c r="T67" i="33" s="1"/>
  <c r="Y29" i="33"/>
  <c r="Y71" i="33" s="1"/>
  <c r="Y31" i="33"/>
  <c r="Y73" i="33" s="1"/>
  <c r="Y33" i="33"/>
  <c r="Y75" i="33" s="1"/>
  <c r="Z28" i="33"/>
  <c r="Z70" i="33" s="1"/>
  <c r="T30" i="33"/>
  <c r="T72" i="33" s="1"/>
  <c r="Z32" i="33"/>
  <c r="Z74" i="33" s="1"/>
  <c r="S34" i="33"/>
  <c r="S76" i="33" s="1"/>
  <c r="U30" i="33"/>
  <c r="U72" i="33" s="1"/>
  <c r="X34" i="33"/>
  <c r="X76" i="33" s="1"/>
  <c r="Q28" i="33"/>
  <c r="Q70" i="33" s="1"/>
  <c r="X32" i="33"/>
  <c r="X74" i="33" s="1"/>
  <c r="U122" i="33"/>
  <c r="X122" i="33"/>
  <c r="AB122" i="33"/>
  <c r="L366" i="33"/>
  <c r="L122" i="33"/>
  <c r="F354" i="33"/>
  <c r="X24" i="33"/>
  <c r="X66" i="33" s="1"/>
  <c r="AA38" i="33"/>
  <c r="AA52" i="33" s="1"/>
  <c r="Z80" i="33"/>
  <c r="AA80" i="33"/>
  <c r="AC10" i="33"/>
  <c r="X96" i="33"/>
  <c r="F397" i="33"/>
  <c r="F411" i="33"/>
  <c r="F405" i="33"/>
  <c r="F419" i="33"/>
  <c r="Q41" i="33"/>
  <c r="Q55" i="33" s="1"/>
  <c r="Q99" i="33"/>
  <c r="Q169" i="33" s="1"/>
  <c r="W345" i="33"/>
  <c r="W131" i="33"/>
  <c r="W361" i="33"/>
  <c r="W375" i="33" s="1"/>
  <c r="W389" i="33" s="1"/>
  <c r="W173" i="33"/>
  <c r="W117" i="33"/>
  <c r="W287" i="33"/>
  <c r="W103" i="33"/>
  <c r="W203" i="33"/>
  <c r="W303" i="33"/>
  <c r="W317" i="33" s="1"/>
  <c r="W273" i="33"/>
  <c r="W217" i="33"/>
  <c r="W187" i="33"/>
  <c r="W417" i="33"/>
  <c r="W231" i="33"/>
  <c r="W433" i="33"/>
  <c r="W403" i="33"/>
  <c r="Q91" i="33"/>
  <c r="Q107" i="33"/>
  <c r="Q177" i="33" s="1"/>
  <c r="G427" i="33"/>
  <c r="G297" i="33"/>
  <c r="G311" i="33" s="1"/>
  <c r="G325" i="33" s="1"/>
  <c r="G97" i="33"/>
  <c r="G355" i="33"/>
  <c r="G369" i="33" s="1"/>
  <c r="G383" i="33" s="1"/>
  <c r="G197" i="33"/>
  <c r="G359" i="33"/>
  <c r="G373" i="33" s="1"/>
  <c r="G387" i="33" s="1"/>
  <c r="G201" i="33"/>
  <c r="G431" i="33"/>
  <c r="G301" i="33"/>
  <c r="G315" i="33" s="1"/>
  <c r="G329" i="33" s="1"/>
  <c r="G101" i="33"/>
  <c r="W436" i="33"/>
  <c r="W348" i="33"/>
  <c r="W234" i="33"/>
  <c r="W176" i="33"/>
  <c r="W406" i="33"/>
  <c r="W290" i="33"/>
  <c r="W206" i="33"/>
  <c r="W120" i="33"/>
  <c r="W420" i="33"/>
  <c r="W364" i="33"/>
  <c r="W378" i="33" s="1"/>
  <c r="W392" i="33" s="1"/>
  <c r="W306" i="33"/>
  <c r="W320" i="33" s="1"/>
  <c r="W276" i="33"/>
  <c r="W220" i="33"/>
  <c r="W190" i="33"/>
  <c r="W134" i="33"/>
  <c r="W106" i="33"/>
  <c r="W434" i="33"/>
  <c r="W404" i="33"/>
  <c r="W346" i="33"/>
  <c r="W288" i="33"/>
  <c r="W232" i="33"/>
  <c r="W204" i="33"/>
  <c r="W174" i="33"/>
  <c r="W118" i="33"/>
  <c r="W188" i="33"/>
  <c r="W304" i="33"/>
  <c r="W318" i="33" s="1"/>
  <c r="W274" i="33"/>
  <c r="W218" i="33"/>
  <c r="W132" i="33"/>
  <c r="W104" i="33"/>
  <c r="W418" i="33"/>
  <c r="W362" i="33"/>
  <c r="W376" i="33" s="1"/>
  <c r="W390" i="33" s="1"/>
  <c r="F417" i="33"/>
  <c r="F403" i="33"/>
  <c r="F3" i="35"/>
  <c r="W227" i="33"/>
  <c r="W99" i="33"/>
  <c r="W269" i="33"/>
  <c r="W413" i="33"/>
  <c r="W199" i="33"/>
  <c r="W299" i="33"/>
  <c r="W313" i="33" s="1"/>
  <c r="W113" i="33"/>
  <c r="W429" i="33"/>
  <c r="W341" i="33"/>
  <c r="W283" i="33"/>
  <c r="W357" i="33"/>
  <c r="W371" i="33" s="1"/>
  <c r="W385" i="33" s="1"/>
  <c r="W169" i="33"/>
  <c r="W399" i="33"/>
  <c r="W213" i="33"/>
  <c r="W183" i="33"/>
  <c r="W127" i="33"/>
  <c r="W407" i="33"/>
  <c r="W221" i="33"/>
  <c r="W235" i="33"/>
  <c r="W107" i="33"/>
  <c r="W421" i="33"/>
  <c r="W349" i="33"/>
  <c r="W191" i="33"/>
  <c r="W207" i="33"/>
  <c r="W365" i="33"/>
  <c r="W379" i="33" s="1"/>
  <c r="W393" i="33" s="1"/>
  <c r="W121" i="33"/>
  <c r="W437" i="33"/>
  <c r="W291" i="33"/>
  <c r="W135" i="33"/>
  <c r="W177" i="33"/>
  <c r="W307" i="33"/>
  <c r="W321" i="33" s="1"/>
  <c r="W277" i="33"/>
  <c r="X83" i="33"/>
  <c r="G299" i="33"/>
  <c r="G313" i="33" s="1"/>
  <c r="G327" i="33" s="1"/>
  <c r="G429" i="33"/>
  <c r="G99" i="33"/>
  <c r="G199" i="33"/>
  <c r="G357" i="33"/>
  <c r="G371" i="33" s="1"/>
  <c r="G385" i="33" s="1"/>
  <c r="AB87" i="33"/>
  <c r="G203" i="33"/>
  <c r="G361" i="33"/>
  <c r="G375" i="33" s="1"/>
  <c r="G389" i="33" s="1"/>
  <c r="G303" i="33"/>
  <c r="G317" i="33" s="1"/>
  <c r="G331" i="33" s="1"/>
  <c r="G103" i="33"/>
  <c r="G433" i="33"/>
  <c r="W91" i="33"/>
  <c r="G437" i="33"/>
  <c r="G107" i="33"/>
  <c r="G307" i="33"/>
  <c r="G321" i="33" s="1"/>
  <c r="G335" i="33" s="1"/>
  <c r="G207" i="33"/>
  <c r="G365" i="33"/>
  <c r="G379" i="33" s="1"/>
  <c r="G393" i="33" s="1"/>
  <c r="Q80" i="33"/>
  <c r="Q96" i="33"/>
  <c r="Q88" i="33"/>
  <c r="Q104" i="33"/>
  <c r="Q118" i="33" s="1"/>
  <c r="F418" i="33"/>
  <c r="F404" i="33"/>
  <c r="W426" i="33"/>
  <c r="W396" i="33"/>
  <c r="W338" i="33"/>
  <c r="W280" i="33"/>
  <c r="W224" i="33"/>
  <c r="W196" i="33"/>
  <c r="W166" i="33"/>
  <c r="W110" i="33"/>
  <c r="W410" i="33"/>
  <c r="W124" i="33"/>
  <c r="W96" i="33"/>
  <c r="W354" i="33"/>
  <c r="W368" i="33" s="1"/>
  <c r="W382" i="33" s="1"/>
  <c r="W180" i="33"/>
  <c r="W296" i="33"/>
  <c r="W310" i="33" s="1"/>
  <c r="W266" i="33"/>
  <c r="W210" i="33"/>
  <c r="Q42" i="33"/>
  <c r="Q56" i="33" s="1"/>
  <c r="Q100" i="33"/>
  <c r="Q170" i="33" s="1"/>
  <c r="F413" i="33"/>
  <c r="F399" i="33"/>
  <c r="F421" i="33"/>
  <c r="F407" i="33"/>
  <c r="W360" i="33"/>
  <c r="W374" i="33" s="1"/>
  <c r="W388" i="33" s="1"/>
  <c r="W272" i="33"/>
  <c r="W186" i="33"/>
  <c r="W102" i="33"/>
  <c r="W416" i="33"/>
  <c r="W302" i="33"/>
  <c r="W316" i="33" s="1"/>
  <c r="W216" i="33"/>
  <c r="W130" i="33"/>
  <c r="W432" i="33"/>
  <c r="W402" i="33"/>
  <c r="W344" i="33"/>
  <c r="W286" i="33"/>
  <c r="W230" i="33"/>
  <c r="W202" i="33"/>
  <c r="W172" i="33"/>
  <c r="W116" i="33"/>
  <c r="Q48" i="33"/>
  <c r="Q62" i="33" s="1"/>
  <c r="Q106" i="33"/>
  <c r="Q134" i="33" s="1"/>
  <c r="Q162" i="33" s="1"/>
  <c r="F412" i="33"/>
  <c r="F398" i="33"/>
  <c r="F402" i="33"/>
  <c r="F416" i="33"/>
  <c r="F420" i="33"/>
  <c r="F406" i="33"/>
  <c r="W427" i="33"/>
  <c r="W397" i="33"/>
  <c r="W339" i="33"/>
  <c r="W281" i="33"/>
  <c r="W225" i="33"/>
  <c r="W197" i="33"/>
  <c r="W167" i="33"/>
  <c r="W111" i="33"/>
  <c r="W411" i="33"/>
  <c r="W355" i="33"/>
  <c r="W369" i="33" s="1"/>
  <c r="W383" i="33" s="1"/>
  <c r="W297" i="33"/>
  <c r="W311" i="33" s="1"/>
  <c r="W267" i="33"/>
  <c r="W211" i="33"/>
  <c r="W181" i="33"/>
  <c r="W125" i="33"/>
  <c r="W97" i="33"/>
  <c r="W435" i="33"/>
  <c r="W405" i="33"/>
  <c r="W347" i="33"/>
  <c r="W289" i="33"/>
  <c r="W233" i="33"/>
  <c r="W205" i="33"/>
  <c r="W175" i="33"/>
  <c r="W119" i="33"/>
  <c r="W419" i="33"/>
  <c r="W363" i="33"/>
  <c r="W377" i="33" s="1"/>
  <c r="W391" i="33" s="1"/>
  <c r="W305" i="33"/>
  <c r="W319" i="33" s="1"/>
  <c r="W275" i="33"/>
  <c r="W219" i="33"/>
  <c r="W189" i="33"/>
  <c r="W133" i="33"/>
  <c r="W105" i="33"/>
  <c r="G428" i="33"/>
  <c r="G98" i="33"/>
  <c r="G298" i="33"/>
  <c r="G312" i="33" s="1"/>
  <c r="G326" i="33" s="1"/>
  <c r="G356" i="33"/>
  <c r="G370" i="33" s="1"/>
  <c r="G384" i="33" s="1"/>
  <c r="G198" i="33"/>
  <c r="AB86" i="33"/>
  <c r="G360" i="33"/>
  <c r="G374" i="33" s="1"/>
  <c r="G388" i="33" s="1"/>
  <c r="G202" i="33"/>
  <c r="G432" i="33"/>
  <c r="G302" i="33"/>
  <c r="G316" i="33" s="1"/>
  <c r="G330" i="33" s="1"/>
  <c r="G102" i="33"/>
  <c r="W90" i="33"/>
  <c r="G436" i="33"/>
  <c r="G306" i="33"/>
  <c r="G320" i="33" s="1"/>
  <c r="G334" i="33" s="1"/>
  <c r="G106" i="33"/>
  <c r="G364" i="33"/>
  <c r="G378" i="33" s="1"/>
  <c r="G392" i="33" s="1"/>
  <c r="G206" i="33"/>
  <c r="W414" i="33"/>
  <c r="W358" i="33"/>
  <c r="W372" i="33" s="1"/>
  <c r="W386" i="33" s="1"/>
  <c r="W300" i="33"/>
  <c r="W314" i="33" s="1"/>
  <c r="W270" i="33"/>
  <c r="W214" i="33"/>
  <c r="W184" i="33"/>
  <c r="W128" i="33"/>
  <c r="W100" i="33"/>
  <c r="W284" i="33"/>
  <c r="W400" i="33"/>
  <c r="W342" i="33"/>
  <c r="W228" i="33"/>
  <c r="W430" i="33"/>
  <c r="W200" i="33"/>
  <c r="W170" i="33"/>
  <c r="W114" i="33"/>
  <c r="F401" i="33"/>
  <c r="F415" i="33"/>
  <c r="G435" i="33"/>
  <c r="G305" i="33"/>
  <c r="G319" i="33" s="1"/>
  <c r="G333" i="33" s="1"/>
  <c r="G105" i="33"/>
  <c r="G363" i="33"/>
  <c r="G377" i="33" s="1"/>
  <c r="G391" i="33" s="1"/>
  <c r="G205" i="33"/>
  <c r="W398" i="33"/>
  <c r="W282" i="33"/>
  <c r="W198" i="33"/>
  <c r="W112" i="33"/>
  <c r="W428" i="33"/>
  <c r="W340" i="33"/>
  <c r="W226" i="33"/>
  <c r="W168" i="33"/>
  <c r="W412" i="33"/>
  <c r="W356" i="33"/>
  <c r="W370" i="33" s="1"/>
  <c r="W384" i="33" s="1"/>
  <c r="W298" i="33"/>
  <c r="W312" i="33" s="1"/>
  <c r="W268" i="33"/>
  <c r="W212" i="33"/>
  <c r="W182" i="33"/>
  <c r="W126" i="33"/>
  <c r="W98" i="33"/>
  <c r="Q44" i="33"/>
  <c r="Q58" i="33" s="1"/>
  <c r="Q102" i="33"/>
  <c r="Q130" i="33" s="1"/>
  <c r="Q158" i="33" s="1"/>
  <c r="F414" i="33"/>
  <c r="F400" i="33"/>
  <c r="F11" i="35"/>
  <c r="Q39" i="33"/>
  <c r="Q53" i="33" s="1"/>
  <c r="Q97" i="33"/>
  <c r="Q167" i="33" s="1"/>
  <c r="W415" i="33"/>
  <c r="W359" i="33"/>
  <c r="W373" i="33" s="1"/>
  <c r="W387" i="33" s="1"/>
  <c r="W301" i="33"/>
  <c r="W315" i="33" s="1"/>
  <c r="W271" i="33"/>
  <c r="W215" i="33"/>
  <c r="W185" i="33"/>
  <c r="W129" i="33"/>
  <c r="W101" i="33"/>
  <c r="W431" i="33"/>
  <c r="W401" i="33"/>
  <c r="W343" i="33"/>
  <c r="W285" i="33"/>
  <c r="W229" i="33"/>
  <c r="W201" i="33"/>
  <c r="W171" i="33"/>
  <c r="W115" i="33"/>
  <c r="X80" i="33"/>
  <c r="G426" i="33"/>
  <c r="G296" i="33"/>
  <c r="G310" i="33" s="1"/>
  <c r="G324" i="33" s="1"/>
  <c r="G96" i="33"/>
  <c r="G196" i="33"/>
  <c r="G354" i="33"/>
  <c r="G368" i="33" s="1"/>
  <c r="G382" i="33" s="1"/>
  <c r="G358" i="33"/>
  <c r="G372" i="33" s="1"/>
  <c r="G386" i="33" s="1"/>
  <c r="G200" i="33"/>
  <c r="G430" i="33"/>
  <c r="G300" i="33"/>
  <c r="G314" i="33" s="1"/>
  <c r="G328" i="33" s="1"/>
  <c r="G100" i="33"/>
  <c r="X88" i="33"/>
  <c r="G434" i="33"/>
  <c r="G304" i="33"/>
  <c r="G318" i="33" s="1"/>
  <c r="G332" i="33" s="1"/>
  <c r="G104" i="33"/>
  <c r="G204" i="33"/>
  <c r="G362" i="33"/>
  <c r="G376" i="33" s="1"/>
  <c r="G390" i="33" s="1"/>
  <c r="G366" i="33"/>
  <c r="G380" i="33" s="1"/>
  <c r="G208" i="33"/>
  <c r="G438" i="33"/>
  <c r="G308" i="33"/>
  <c r="G322" i="33" s="1"/>
  <c r="G336" i="33" s="1"/>
  <c r="G323" i="33" s="1"/>
  <c r="G36" i="24" s="1"/>
  <c r="W366" i="33"/>
  <c r="W192" i="33"/>
  <c r="W236" i="33"/>
  <c r="W223" i="33" s="1"/>
  <c r="W27" i="24" s="1"/>
  <c r="W108" i="33"/>
  <c r="W178" i="33"/>
  <c r="W422" i="33"/>
  <c r="W409" i="33" s="1"/>
  <c r="W44" i="24" s="1"/>
  <c r="W308" i="33"/>
  <c r="W136" i="33"/>
  <c r="W408" i="33"/>
  <c r="W395" i="33" s="1"/>
  <c r="W43" i="24" s="1"/>
  <c r="W208" i="33"/>
  <c r="W195" i="33" s="1"/>
  <c r="W25" i="24" s="1"/>
  <c r="W278" i="33"/>
  <c r="W265" i="33" s="1"/>
  <c r="W30" i="24" s="1"/>
  <c r="W350" i="33"/>
  <c r="W337" i="33" s="1"/>
  <c r="W37" i="24" s="1"/>
  <c r="W292" i="33"/>
  <c r="W279" i="33" s="1"/>
  <c r="W31" i="24" s="1"/>
  <c r="W438" i="33"/>
  <c r="W425" i="33" s="1"/>
  <c r="W47" i="24" s="1"/>
  <c r="W222" i="33"/>
  <c r="W209" i="33" s="1"/>
  <c r="W26" i="24" s="1"/>
  <c r="F353" i="33"/>
  <c r="F408" i="33"/>
  <c r="F395" i="33" s="1"/>
  <c r="F43" i="24" s="1"/>
  <c r="F422" i="33"/>
  <c r="F409" i="33" s="1"/>
  <c r="F44" i="24" s="1"/>
  <c r="B22" i="35"/>
  <c r="F22" i="35" s="1"/>
  <c r="AB223" i="33"/>
  <c r="AB27" i="24" s="1"/>
  <c r="B6" i="35"/>
  <c r="F6" i="35" s="1"/>
  <c r="AA223" i="33"/>
  <c r="AA27" i="24" s="1"/>
  <c r="AC223" i="33"/>
  <c r="AC27" i="24" s="1"/>
  <c r="B29" i="35"/>
  <c r="B16" i="35"/>
  <c r="F16" i="35" s="1"/>
  <c r="Z82" i="33"/>
  <c r="L121" i="33"/>
  <c r="L365" i="33"/>
  <c r="AC85" i="33"/>
  <c r="L112" i="33"/>
  <c r="L356" i="33"/>
  <c r="L116" i="33"/>
  <c r="L360" i="33"/>
  <c r="L120" i="33"/>
  <c r="L364" i="33"/>
  <c r="AA425" i="33"/>
  <c r="AA47" i="24" s="1"/>
  <c r="S436" i="33"/>
  <c r="AC436" i="33"/>
  <c r="T436" i="33"/>
  <c r="Z436" i="33"/>
  <c r="Y436" i="33"/>
  <c r="S86" i="33"/>
  <c r="AC90" i="33"/>
  <c r="L113" i="33"/>
  <c r="L357" i="33"/>
  <c r="Y433" i="33"/>
  <c r="T433" i="33"/>
  <c r="S433" i="33"/>
  <c r="AC433" i="33"/>
  <c r="Z433" i="33"/>
  <c r="S84" i="33"/>
  <c r="Y88" i="33"/>
  <c r="L111" i="33"/>
  <c r="L355" i="33"/>
  <c r="L115" i="33"/>
  <c r="L359" i="33"/>
  <c r="L119" i="33"/>
  <c r="L363" i="33"/>
  <c r="L117" i="33"/>
  <c r="L361" i="33"/>
  <c r="AC427" i="33"/>
  <c r="Z427" i="33"/>
  <c r="S427" i="33"/>
  <c r="Y427" i="33"/>
  <c r="T427" i="33"/>
  <c r="Y87" i="33"/>
  <c r="AC91" i="33"/>
  <c r="L110" i="33"/>
  <c r="L354" i="33"/>
  <c r="L114" i="33"/>
  <c r="L358" i="33"/>
  <c r="L118" i="33"/>
  <c r="L362" i="33"/>
  <c r="AA295" i="33"/>
  <c r="T168" i="33"/>
  <c r="R298" i="33"/>
  <c r="R312" i="33" s="1"/>
  <c r="R326" i="33" s="1"/>
  <c r="R295" i="33"/>
  <c r="Z308" i="33"/>
  <c r="Y308" i="33"/>
  <c r="R350" i="33"/>
  <c r="AC308" i="33"/>
  <c r="T308" i="33"/>
  <c r="S308" i="33"/>
  <c r="Z170" i="33"/>
  <c r="R300" i="33"/>
  <c r="R314" i="33" s="1"/>
  <c r="R328" i="33" s="1"/>
  <c r="T297" i="33"/>
  <c r="T311" i="33" s="1"/>
  <c r="Y297" i="33"/>
  <c r="Y311" i="33" s="1"/>
  <c r="AC297" i="33"/>
  <c r="AC311" i="33" s="1"/>
  <c r="S297" i="33"/>
  <c r="S311" i="33" s="1"/>
  <c r="Z297" i="33"/>
  <c r="Z311" i="33" s="1"/>
  <c r="R339" i="33"/>
  <c r="AC175" i="33"/>
  <c r="R305" i="33"/>
  <c r="R319" i="33" s="1"/>
  <c r="R333" i="33" s="1"/>
  <c r="R343" i="33"/>
  <c r="S301" i="33"/>
  <c r="S315" i="33" s="1"/>
  <c r="AC301" i="33"/>
  <c r="AC315" i="33" s="1"/>
  <c r="Y301" i="33"/>
  <c r="Y315" i="33" s="1"/>
  <c r="T301" i="33"/>
  <c r="T315" i="33" s="1"/>
  <c r="Z301" i="33"/>
  <c r="Z315" i="33" s="1"/>
  <c r="T173" i="33"/>
  <c r="R303" i="33"/>
  <c r="R317" i="33" s="1"/>
  <c r="R331" i="33" s="1"/>
  <c r="Z169" i="33"/>
  <c r="R299" i="33"/>
  <c r="R313" i="33" s="1"/>
  <c r="R327" i="33" s="1"/>
  <c r="S177" i="33"/>
  <c r="R307" i="33"/>
  <c r="R321" i="33" s="1"/>
  <c r="R335" i="33" s="1"/>
  <c r="S176" i="33"/>
  <c r="R306" i="33"/>
  <c r="R320" i="33" s="1"/>
  <c r="R334" i="33" s="1"/>
  <c r="S302" i="33"/>
  <c r="S316" i="33" s="1"/>
  <c r="R344" i="33"/>
  <c r="AC302" i="33"/>
  <c r="AC316" i="33" s="1"/>
  <c r="T302" i="33"/>
  <c r="T316" i="33" s="1"/>
  <c r="Z302" i="33"/>
  <c r="Z316" i="33" s="1"/>
  <c r="Y302" i="33"/>
  <c r="Y316" i="33" s="1"/>
  <c r="Z166" i="33"/>
  <c r="R296" i="33"/>
  <c r="R310" i="33" s="1"/>
  <c r="R324" i="33" s="1"/>
  <c r="Z174" i="33"/>
  <c r="R304" i="33"/>
  <c r="R318" i="33" s="1"/>
  <c r="R332" i="33" s="1"/>
  <c r="B7" i="35"/>
  <c r="F7" i="35" s="1"/>
  <c r="AC195" i="33"/>
  <c r="AA195" i="33"/>
  <c r="AA25" i="24" s="1"/>
  <c r="R125" i="33"/>
  <c r="L197" i="33"/>
  <c r="L211" i="33" s="1"/>
  <c r="L225" i="33" s="1"/>
  <c r="R127" i="33"/>
  <c r="L199" i="33"/>
  <c r="L213" i="33" s="1"/>
  <c r="L227" i="33" s="1"/>
  <c r="R191" i="33"/>
  <c r="L207" i="33"/>
  <c r="L221" i="33" s="1"/>
  <c r="L235" i="33" s="1"/>
  <c r="Y115" i="33"/>
  <c r="L201" i="33"/>
  <c r="L215" i="33" s="1"/>
  <c r="L229" i="33" s="1"/>
  <c r="S116" i="33"/>
  <c r="L202" i="33"/>
  <c r="L216" i="33" s="1"/>
  <c r="L230" i="33" s="1"/>
  <c r="R126" i="33"/>
  <c r="L198" i="33"/>
  <c r="L212" i="33" s="1"/>
  <c r="L226" i="33" s="1"/>
  <c r="AC117" i="33"/>
  <c r="L203" i="33"/>
  <c r="L217" i="33" s="1"/>
  <c r="L231" i="33" s="1"/>
  <c r="L222" i="33"/>
  <c r="L209" i="33" s="1"/>
  <c r="S119" i="33"/>
  <c r="L205" i="33"/>
  <c r="L219" i="33" s="1"/>
  <c r="L233" i="33" s="1"/>
  <c r="Y110" i="33"/>
  <c r="L196" i="33"/>
  <c r="L210" i="33" s="1"/>
  <c r="L224" i="33" s="1"/>
  <c r="AC114" i="33"/>
  <c r="L200" i="33"/>
  <c r="L214" i="33" s="1"/>
  <c r="L228" i="33" s="1"/>
  <c r="Z178" i="33"/>
  <c r="AA178" i="33"/>
  <c r="AA136" i="33"/>
  <c r="P192" i="33"/>
  <c r="L95" i="33"/>
  <c r="AC92" i="33"/>
  <c r="AA92" i="33"/>
  <c r="W92" i="33"/>
  <c r="AA50" i="33"/>
  <c r="AA64" i="33" s="1"/>
  <c r="AA51" i="33" s="1"/>
  <c r="AA11" i="24" s="1"/>
  <c r="G50" i="33"/>
  <c r="T36" i="33"/>
  <c r="T78" i="33" s="1"/>
  <c r="T65" i="33" s="1"/>
  <c r="T12" i="24" s="1"/>
  <c r="X36" i="33"/>
  <c r="X78" i="33" s="1"/>
  <c r="X65" i="33" s="1"/>
  <c r="X12" i="24" s="1"/>
  <c r="Y113" i="33"/>
  <c r="AC115" i="33"/>
  <c r="Q92" i="33"/>
  <c r="AC22" i="33"/>
  <c r="AB88" i="33"/>
  <c r="Z113" i="33"/>
  <c r="Q83" i="33"/>
  <c r="AA112" i="33"/>
  <c r="W83" i="33"/>
  <c r="AC112" i="33"/>
  <c r="W30" i="33"/>
  <c r="S115" i="33"/>
  <c r="T115" i="33"/>
  <c r="Y174" i="33"/>
  <c r="AC30" i="33"/>
  <c r="AC72" i="33" s="1"/>
  <c r="Z36" i="33"/>
  <c r="Z78" i="33" s="1"/>
  <c r="Z65" i="33" s="1"/>
  <c r="Z12" i="24" s="1"/>
  <c r="AC174" i="33"/>
  <c r="Z33" i="33"/>
  <c r="Z75" i="33" s="1"/>
  <c r="Y121" i="33"/>
  <c r="AA121" i="33"/>
  <c r="X30" i="33"/>
  <c r="X72" i="33" s="1"/>
  <c r="Q84" i="33"/>
  <c r="T116" i="33"/>
  <c r="S117" i="33"/>
  <c r="T28" i="33"/>
  <c r="T70" i="33" s="1"/>
  <c r="Y82" i="33"/>
  <c r="T86" i="33"/>
  <c r="T117" i="33"/>
  <c r="Y168" i="33"/>
  <c r="S169" i="33"/>
  <c r="Q24" i="33"/>
  <c r="Q66" i="33" s="1"/>
  <c r="U25" i="33"/>
  <c r="U67" i="33" s="1"/>
  <c r="U28" i="33"/>
  <c r="U70" i="33" s="1"/>
  <c r="Y32" i="33"/>
  <c r="Y74" i="33" s="1"/>
  <c r="AB35" i="33"/>
  <c r="AB77" i="33" s="1"/>
  <c r="Z85" i="33"/>
  <c r="T88" i="33"/>
  <c r="T90" i="33"/>
  <c r="T166" i="33"/>
  <c r="Z168" i="33"/>
  <c r="T169" i="33"/>
  <c r="S170" i="33"/>
  <c r="Q171" i="33"/>
  <c r="V187" i="33"/>
  <c r="AA187" i="33" s="1"/>
  <c r="W25" i="33"/>
  <c r="W28" i="33"/>
  <c r="AC35" i="33"/>
  <c r="AC77" i="33" s="1"/>
  <c r="Q50" i="33"/>
  <c r="Q64" i="33" s="1"/>
  <c r="Q51" i="33" s="1"/>
  <c r="Q11" i="24" s="1"/>
  <c r="W80" i="33"/>
  <c r="W86" i="33"/>
  <c r="AC87" i="33"/>
  <c r="T170" i="33"/>
  <c r="X25" i="33"/>
  <c r="X67" i="33" s="1"/>
  <c r="X28" i="33"/>
  <c r="X70" i="33" s="1"/>
  <c r="Z34" i="33"/>
  <c r="Z76" i="33" s="1"/>
  <c r="W88" i="33"/>
  <c r="Y90" i="33"/>
  <c r="X92" i="33"/>
  <c r="R129" i="33"/>
  <c r="Y166" i="33"/>
  <c r="AC168" i="33"/>
  <c r="R185" i="33"/>
  <c r="Q25" i="33"/>
  <c r="Q67" i="33" s="1"/>
  <c r="Q81" i="33"/>
  <c r="Y85" i="33"/>
  <c r="S88" i="33"/>
  <c r="Y28" i="33"/>
  <c r="Y70" i="33" s="1"/>
  <c r="Z90" i="33"/>
  <c r="X91" i="33"/>
  <c r="Y92" i="33"/>
  <c r="Y119" i="33"/>
  <c r="R189" i="33"/>
  <c r="Y36" i="33"/>
  <c r="Y78" i="33" s="1"/>
  <c r="Y65" i="33" s="1"/>
  <c r="Y12" i="24" s="1"/>
  <c r="AC88" i="33"/>
  <c r="AB91" i="33"/>
  <c r="Z92" i="33"/>
  <c r="Z119" i="33"/>
  <c r="Z121" i="33"/>
  <c r="Y170" i="33"/>
  <c r="Q38" i="33"/>
  <c r="Q52" i="33" s="1"/>
  <c r="W89" i="33"/>
  <c r="X89" i="33"/>
  <c r="AB89" i="33"/>
  <c r="Z118" i="33"/>
  <c r="Y118" i="33"/>
  <c r="S118" i="33"/>
  <c r="S120" i="33"/>
  <c r="AC120" i="33"/>
  <c r="W31" i="33"/>
  <c r="Q31" i="33"/>
  <c r="Q73" i="33" s="1"/>
  <c r="W82" i="33"/>
  <c r="X82" i="33"/>
  <c r="AB82" i="33"/>
  <c r="AB85" i="33"/>
  <c r="W85" i="33"/>
  <c r="S89" i="33"/>
  <c r="Y89" i="33"/>
  <c r="T89" i="33"/>
  <c r="V188" i="33"/>
  <c r="AA188" i="33" s="1"/>
  <c r="AA118" i="33"/>
  <c r="V190" i="33"/>
  <c r="AA190" i="33" s="1"/>
  <c r="AA120" i="33"/>
  <c r="V192" i="33"/>
  <c r="W26" i="33"/>
  <c r="X26" i="33"/>
  <c r="X68" i="33" s="1"/>
  <c r="S30" i="33"/>
  <c r="S72" i="33" s="1"/>
  <c r="W81" i="33"/>
  <c r="X81" i="33"/>
  <c r="AB81" i="33"/>
  <c r="AB84" i="33"/>
  <c r="W84" i="33"/>
  <c r="Z91" i="33"/>
  <c r="Y91" i="33"/>
  <c r="Y111" i="33"/>
  <c r="AC111" i="33"/>
  <c r="R181" i="33"/>
  <c r="T111" i="33"/>
  <c r="T26" i="33"/>
  <c r="T68" i="33" s="1"/>
  <c r="Y26" i="33"/>
  <c r="Y68" i="33" s="1"/>
  <c r="S26" i="33"/>
  <c r="S68" i="33" s="1"/>
  <c r="Z26" i="33"/>
  <c r="Z68" i="33" s="1"/>
  <c r="X87" i="33"/>
  <c r="W87" i="33"/>
  <c r="AC89" i="33"/>
  <c r="S91" i="33"/>
  <c r="S111" i="33"/>
  <c r="V183" i="33"/>
  <c r="AA183" i="33" s="1"/>
  <c r="Q40" i="33"/>
  <c r="Q54" i="33" s="1"/>
  <c r="Q82" i="33"/>
  <c r="AB31" i="33"/>
  <c r="AB73" i="33" s="1"/>
  <c r="Z86" i="33"/>
  <c r="AC86" i="33"/>
  <c r="Y86" i="33"/>
  <c r="T91" i="33"/>
  <c r="R187" i="33"/>
  <c r="R131" i="33"/>
  <c r="Z117" i="33"/>
  <c r="Y117" i="33"/>
  <c r="Y30" i="33"/>
  <c r="Y72" i="33" s="1"/>
  <c r="Z30" i="33"/>
  <c r="Z72" i="33" s="1"/>
  <c r="Y24" i="33"/>
  <c r="Y66" i="33" s="1"/>
  <c r="Z24" i="33"/>
  <c r="Z66" i="33" s="1"/>
  <c r="X85" i="33"/>
  <c r="Q32" i="33"/>
  <c r="Q74" i="33" s="1"/>
  <c r="U32" i="33"/>
  <c r="U74" i="33" s="1"/>
  <c r="AC32" i="33"/>
  <c r="AC74" i="33" s="1"/>
  <c r="W32" i="33"/>
  <c r="Z171" i="33"/>
  <c r="Y171" i="33"/>
  <c r="T177" i="33"/>
  <c r="AC177" i="33"/>
  <c r="Y177" i="33"/>
  <c r="AB90" i="33"/>
  <c r="S32" i="33"/>
  <c r="S74" i="33" s="1"/>
  <c r="Q35" i="33"/>
  <c r="Q77" i="33" s="1"/>
  <c r="S112" i="33"/>
  <c r="AC25" i="33"/>
  <c r="AC67" i="33" s="1"/>
  <c r="Q30" i="33"/>
  <c r="Q72" i="33" s="1"/>
  <c r="Y34" i="33"/>
  <c r="Y76" i="33" s="1"/>
  <c r="W35" i="33"/>
  <c r="Q86" i="33"/>
  <c r="Z112" i="33"/>
  <c r="T119" i="33"/>
  <c r="S166" i="33"/>
  <c r="AC169" i="33"/>
  <c r="AC173" i="33"/>
  <c r="S87" i="33"/>
  <c r="AB92" i="33"/>
  <c r="S173" i="33"/>
  <c r="T32" i="33"/>
  <c r="T74" i="33" s="1"/>
  <c r="T34" i="33"/>
  <c r="T76" i="33" s="1"/>
  <c r="S36" i="33"/>
  <c r="S78" i="33" s="1"/>
  <c r="S65" i="33" s="1"/>
  <c r="S12" i="24" s="1"/>
  <c r="AB80" i="33"/>
  <c r="AB83" i="33"/>
  <c r="T87" i="33"/>
  <c r="T121" i="33"/>
  <c r="Q129" i="33"/>
  <c r="Q157" i="33" s="1"/>
  <c r="S168" i="33"/>
  <c r="Y169" i="33"/>
  <c r="AC170" i="33"/>
  <c r="S174" i="33"/>
  <c r="AB28" i="33"/>
  <c r="AB70" i="33" s="1"/>
  <c r="Z31" i="33"/>
  <c r="Z73" i="33" s="1"/>
  <c r="U35" i="33"/>
  <c r="U77" i="33" s="1"/>
  <c r="Q49" i="33"/>
  <c r="Q63" i="33" s="1"/>
  <c r="Y112" i="33"/>
  <c r="AC166" i="33"/>
  <c r="Y173" i="33"/>
  <c r="T174" i="33"/>
  <c r="X27" i="33"/>
  <c r="X69" i="33" s="1"/>
  <c r="W27" i="33"/>
  <c r="U27" i="33"/>
  <c r="U69" i="33" s="1"/>
  <c r="R136" i="33"/>
  <c r="AC81" i="33"/>
  <c r="T81" i="33"/>
  <c r="X86" i="33"/>
  <c r="AA115" i="33"/>
  <c r="Q85" i="33"/>
  <c r="Q43" i="33"/>
  <c r="Q57" i="33" s="1"/>
  <c r="AB36" i="33"/>
  <c r="AB78" i="33" s="1"/>
  <c r="AB65" i="33" s="1"/>
  <c r="AB12" i="24" s="1"/>
  <c r="AC36" i="33"/>
  <c r="AC78" i="33" s="1"/>
  <c r="AC65" i="33" s="1"/>
  <c r="AC12" i="24" s="1"/>
  <c r="Q36" i="33"/>
  <c r="Q78" i="33" s="1"/>
  <c r="Q65" i="33" s="1"/>
  <c r="Q12" i="24" s="1"/>
  <c r="AC167" i="33"/>
  <c r="S167" i="33"/>
  <c r="T167" i="33"/>
  <c r="Z167" i="33"/>
  <c r="Y167" i="33"/>
  <c r="AB29" i="33"/>
  <c r="AB71" i="33" s="1"/>
  <c r="X29" i="33"/>
  <c r="X71" i="33" s="1"/>
  <c r="W29" i="33"/>
  <c r="U29" i="33"/>
  <c r="U71" i="33" s="1"/>
  <c r="Q131" i="33"/>
  <c r="Q159" i="33" s="1"/>
  <c r="Q117" i="33"/>
  <c r="Q173" i="33"/>
  <c r="V181" i="33"/>
  <c r="AA181" i="33" s="1"/>
  <c r="AA111" i="33"/>
  <c r="T172" i="33"/>
  <c r="AC172" i="33"/>
  <c r="Z172" i="33"/>
  <c r="Y172" i="33"/>
  <c r="W24" i="33"/>
  <c r="U24" i="33"/>
  <c r="U66" i="33" s="1"/>
  <c r="AC24" i="33"/>
  <c r="AC66" i="33" s="1"/>
  <c r="AB24" i="33"/>
  <c r="AB66" i="33" s="1"/>
  <c r="S29" i="33"/>
  <c r="S71" i="33" s="1"/>
  <c r="T29" i="33"/>
  <c r="T71" i="33" s="1"/>
  <c r="Y81" i="33"/>
  <c r="Q168" i="33"/>
  <c r="Q112" i="33"/>
  <c r="Q126" i="33"/>
  <c r="Q154" i="33" s="1"/>
  <c r="R184" i="33"/>
  <c r="R128" i="33"/>
  <c r="S114" i="33"/>
  <c r="T114" i="33"/>
  <c r="Z114" i="33"/>
  <c r="Y114" i="33"/>
  <c r="S172" i="33"/>
  <c r="R192" i="33"/>
  <c r="Q47" i="33"/>
  <c r="Q61" i="33" s="1"/>
  <c r="Q89" i="33"/>
  <c r="Q87" i="33"/>
  <c r="Q45" i="33"/>
  <c r="Q59" i="33" s="1"/>
  <c r="Q27" i="33"/>
  <c r="Q69" i="33" s="1"/>
  <c r="Y27" i="33"/>
  <c r="Y69" i="33" s="1"/>
  <c r="T27" i="33"/>
  <c r="T69" i="33" s="1"/>
  <c r="AB33" i="33"/>
  <c r="AB75" i="33" s="1"/>
  <c r="AC33" i="33"/>
  <c r="AC75" i="33" s="1"/>
  <c r="X33" i="33"/>
  <c r="X75" i="33" s="1"/>
  <c r="W33" i="33"/>
  <c r="U33" i="33"/>
  <c r="U75" i="33" s="1"/>
  <c r="S81" i="33"/>
  <c r="Y120" i="33"/>
  <c r="R190" i="33"/>
  <c r="R134" i="33"/>
  <c r="T120" i="33"/>
  <c r="Z120" i="33"/>
  <c r="S27" i="33"/>
  <c r="S69" i="33" s="1"/>
  <c r="Q33" i="33"/>
  <c r="Q75" i="33" s="1"/>
  <c r="Y35" i="33"/>
  <c r="Y77" i="33" s="1"/>
  <c r="Z35" i="33"/>
  <c r="Z77" i="33" s="1"/>
  <c r="T35" i="33"/>
  <c r="T77" i="33" s="1"/>
  <c r="AC83" i="33"/>
  <c r="S83" i="33"/>
  <c r="T83" i="33"/>
  <c r="Z27" i="33"/>
  <c r="Z69" i="33" s="1"/>
  <c r="Q29" i="33"/>
  <c r="Q71" i="33" s="1"/>
  <c r="S35" i="33"/>
  <c r="S77" i="33" s="1"/>
  <c r="AB27" i="33"/>
  <c r="AB69" i="33" s="1"/>
  <c r="U36" i="33"/>
  <c r="U78" i="33" s="1"/>
  <c r="U65" i="33" s="1"/>
  <c r="U12" i="24" s="1"/>
  <c r="Y80" i="33"/>
  <c r="T80" i="33"/>
  <c r="AC80" i="33"/>
  <c r="S80" i="33"/>
  <c r="Z81" i="33"/>
  <c r="AC82" i="33"/>
  <c r="T82" i="33"/>
  <c r="Y83" i="33"/>
  <c r="T24" i="33"/>
  <c r="T66" i="33" s="1"/>
  <c r="S24" i="33"/>
  <c r="S66" i="33" s="1"/>
  <c r="S25" i="33"/>
  <c r="S67" i="33" s="1"/>
  <c r="Z25" i="33"/>
  <c r="Z67" i="33" s="1"/>
  <c r="Y25" i="33"/>
  <c r="Y67" i="33" s="1"/>
  <c r="U26" i="33"/>
  <c r="U68" i="33" s="1"/>
  <c r="AC26" i="33"/>
  <c r="AC68" i="33" s="1"/>
  <c r="AB26" i="33"/>
  <c r="AB68" i="33" s="1"/>
  <c r="Q26" i="33"/>
  <c r="Q68" i="33" s="1"/>
  <c r="AC27" i="33"/>
  <c r="AC69" i="33" s="1"/>
  <c r="Z29" i="33"/>
  <c r="Z71" i="33" s="1"/>
  <c r="X31" i="33"/>
  <c r="X73" i="33" s="1"/>
  <c r="U31" i="33"/>
  <c r="U73" i="33" s="1"/>
  <c r="AC31" i="33"/>
  <c r="AC73" i="33" s="1"/>
  <c r="W36" i="33"/>
  <c r="W44" i="33"/>
  <c r="W258" i="33" s="1"/>
  <c r="S82" i="33"/>
  <c r="Z83" i="33"/>
  <c r="T84" i="33"/>
  <c r="AC84" i="33"/>
  <c r="Z84" i="33"/>
  <c r="Y84" i="33"/>
  <c r="R130" i="33"/>
  <c r="R186" i="33"/>
  <c r="Z116" i="33"/>
  <c r="AC116" i="33"/>
  <c r="Y116" i="33"/>
  <c r="R183" i="33"/>
  <c r="AC113" i="33"/>
  <c r="T113" i="33"/>
  <c r="S33" i="33"/>
  <c r="S75" i="33" s="1"/>
  <c r="T33" i="33"/>
  <c r="T75" i="33" s="1"/>
  <c r="U34" i="33"/>
  <c r="U76" i="33" s="1"/>
  <c r="W34" i="33"/>
  <c r="S113" i="33"/>
  <c r="V186" i="33"/>
  <c r="AA186" i="33" s="1"/>
  <c r="AA116" i="33"/>
  <c r="S171" i="33"/>
  <c r="AC171" i="33"/>
  <c r="T171" i="33"/>
  <c r="Y175" i="33"/>
  <c r="Z175" i="33"/>
  <c r="S31" i="33"/>
  <c r="S73" i="33" s="1"/>
  <c r="Q34" i="33"/>
  <c r="Q76" i="33" s="1"/>
  <c r="AB34" i="33"/>
  <c r="AB76" i="33" s="1"/>
  <c r="Q46" i="33"/>
  <c r="Q60" i="33" s="1"/>
  <c r="X84" i="33"/>
  <c r="Z88" i="33"/>
  <c r="Z89" i="33"/>
  <c r="Q90" i="33"/>
  <c r="S92" i="33"/>
  <c r="V180" i="33"/>
  <c r="AA180" i="33" s="1"/>
  <c r="AA110" i="33"/>
  <c r="R182" i="33"/>
  <c r="T112" i="33"/>
  <c r="S175" i="33"/>
  <c r="R180" i="33"/>
  <c r="S110" i="33"/>
  <c r="T110" i="33"/>
  <c r="Z110" i="33"/>
  <c r="AC110" i="33"/>
  <c r="T31" i="33"/>
  <c r="T73" i="33" s="1"/>
  <c r="AC34" i="33"/>
  <c r="AC76" i="33" s="1"/>
  <c r="S85" i="33"/>
  <c r="T85" i="33"/>
  <c r="T92" i="33"/>
  <c r="R124" i="33"/>
  <c r="R135" i="33"/>
  <c r="T175" i="33"/>
  <c r="S178" i="33"/>
  <c r="Y178" i="33"/>
  <c r="T178" i="33"/>
  <c r="AC178" i="33"/>
  <c r="S28" i="33"/>
  <c r="S70" i="33" s="1"/>
  <c r="AC28" i="33"/>
  <c r="AC70" i="33" s="1"/>
  <c r="AB30" i="33"/>
  <c r="AB72" i="33" s="1"/>
  <c r="AB32" i="33"/>
  <c r="AB74" i="33" s="1"/>
  <c r="S90" i="33"/>
  <c r="S121" i="33"/>
  <c r="AC121" i="33"/>
  <c r="Z87" i="33"/>
  <c r="X90" i="33"/>
  <c r="Q178" i="33"/>
  <c r="Q136" i="33"/>
  <c r="Q164" i="33" s="1"/>
  <c r="Q151" i="33" s="1"/>
  <c r="Q20" i="24" s="1"/>
  <c r="R188" i="33"/>
  <c r="AC118" i="33"/>
  <c r="T118" i="33"/>
  <c r="R132" i="33"/>
  <c r="R133" i="33"/>
  <c r="T176" i="33"/>
  <c r="Y176" i="33"/>
  <c r="Z176" i="33"/>
  <c r="Q133" i="33"/>
  <c r="Q161" i="33" s="1"/>
  <c r="Q175" i="33"/>
  <c r="V184" i="33"/>
  <c r="AA184" i="33" s="1"/>
  <c r="AA114" i="33"/>
  <c r="AC119" i="33"/>
  <c r="AC176" i="33"/>
  <c r="Z111" i="33"/>
  <c r="Z115" i="33"/>
  <c r="V189" i="33"/>
  <c r="AA189" i="33" s="1"/>
  <c r="AA119" i="33"/>
  <c r="Z173" i="33"/>
  <c r="Z177" i="33"/>
  <c r="L404" i="33" l="1"/>
  <c r="L418" i="33" s="1"/>
  <c r="L376" i="33"/>
  <c r="L390" i="33" s="1"/>
  <c r="L402" i="33"/>
  <c r="L416" i="33" s="1"/>
  <c r="L374" i="33"/>
  <c r="L388" i="33" s="1"/>
  <c r="F410" i="33"/>
  <c r="F368" i="33"/>
  <c r="F382" i="33" s="1"/>
  <c r="L401" i="33"/>
  <c r="L415" i="33" s="1"/>
  <c r="L373" i="33"/>
  <c r="L387" i="33" s="1"/>
  <c r="F40" i="24"/>
  <c r="L405" i="33"/>
  <c r="L419" i="33" s="1"/>
  <c r="L377" i="33"/>
  <c r="L391" i="33" s="1"/>
  <c r="L398" i="33"/>
  <c r="L412" i="33" s="1"/>
  <c r="L370" i="33"/>
  <c r="L384" i="33" s="1"/>
  <c r="L397" i="33"/>
  <c r="L411" i="33" s="1"/>
  <c r="L369" i="33"/>
  <c r="L383" i="33" s="1"/>
  <c r="L396" i="33"/>
  <c r="L410" i="33" s="1"/>
  <c r="L368" i="33"/>
  <c r="L382" i="33" s="1"/>
  <c r="L399" i="33"/>
  <c r="L413" i="33" s="1"/>
  <c r="L371" i="33"/>
  <c r="L385" i="33" s="1"/>
  <c r="G367" i="33"/>
  <c r="G41" i="24" s="1"/>
  <c r="G394" i="33"/>
  <c r="G381" i="33" s="1"/>
  <c r="G42" i="24" s="1"/>
  <c r="L403" i="33"/>
  <c r="L417" i="33" s="1"/>
  <c r="L375" i="33"/>
  <c r="L389" i="33" s="1"/>
  <c r="L407" i="33"/>
  <c r="L421" i="33" s="1"/>
  <c r="L379" i="33"/>
  <c r="L393" i="33" s="1"/>
  <c r="L400" i="33"/>
  <c r="L414" i="33" s="1"/>
  <c r="L372" i="33"/>
  <c r="L386" i="33" s="1"/>
  <c r="L353" i="33"/>
  <c r="L380" i="33"/>
  <c r="L406" i="33"/>
  <c r="L420" i="33" s="1"/>
  <c r="L378" i="33"/>
  <c r="L392" i="33" s="1"/>
  <c r="W353" i="33"/>
  <c r="W380" i="33"/>
  <c r="L124" i="33"/>
  <c r="L166" i="33" s="1"/>
  <c r="L180" i="33" s="1"/>
  <c r="L127" i="33"/>
  <c r="L141" i="33" s="1"/>
  <c r="L155" i="33" s="1"/>
  <c r="L131" i="33"/>
  <c r="L173" i="33" s="1"/>
  <c r="L187" i="33" s="1"/>
  <c r="L135" i="33"/>
  <c r="L149" i="33" s="1"/>
  <c r="L163" i="33" s="1"/>
  <c r="L134" i="33"/>
  <c r="L176" i="33" s="1"/>
  <c r="L190" i="33" s="1"/>
  <c r="L132" i="33"/>
  <c r="L174" i="33" s="1"/>
  <c r="L188" i="33" s="1"/>
  <c r="L130" i="33"/>
  <c r="L172" i="33" s="1"/>
  <c r="L186" i="33" s="1"/>
  <c r="R34" i="24"/>
  <c r="L125" i="33"/>
  <c r="L139" i="33" s="1"/>
  <c r="L153" i="33" s="1"/>
  <c r="AA34" i="24"/>
  <c r="L129" i="33"/>
  <c r="L171" i="33" s="1"/>
  <c r="L185" i="33" s="1"/>
  <c r="L133" i="33"/>
  <c r="L175" i="33" s="1"/>
  <c r="L189" i="33" s="1"/>
  <c r="L128" i="33"/>
  <c r="L170" i="33" s="1"/>
  <c r="L184" i="33" s="1"/>
  <c r="L126" i="33"/>
  <c r="L168" i="33" s="1"/>
  <c r="L182" i="33" s="1"/>
  <c r="W334" i="33"/>
  <c r="Z329" i="33"/>
  <c r="W327" i="33"/>
  <c r="Y330" i="33"/>
  <c r="Y329" i="33"/>
  <c r="S325" i="33"/>
  <c r="W330" i="33"/>
  <c r="W332" i="33"/>
  <c r="AC329" i="33"/>
  <c r="X41" i="33"/>
  <c r="X55" i="33" s="1"/>
  <c r="T330" i="33"/>
  <c r="S329" i="33"/>
  <c r="Y325" i="33"/>
  <c r="W328" i="33"/>
  <c r="W335" i="33"/>
  <c r="Z325" i="33"/>
  <c r="Z330" i="33"/>
  <c r="AC330" i="33"/>
  <c r="T325" i="33"/>
  <c r="W326" i="33"/>
  <c r="W333" i="33"/>
  <c r="W325" i="33"/>
  <c r="W331" i="33"/>
  <c r="S330" i="33"/>
  <c r="W324" i="33"/>
  <c r="T329" i="33"/>
  <c r="AC325" i="33"/>
  <c r="U82" i="33"/>
  <c r="W329" i="33"/>
  <c r="G309" i="33"/>
  <c r="G35" i="24" s="1"/>
  <c r="Z295" i="33"/>
  <c r="Z322" i="33"/>
  <c r="Z336" i="33" s="1"/>
  <c r="Z323" i="33" s="1"/>
  <c r="Z36" i="24" s="1"/>
  <c r="T295" i="33"/>
  <c r="T322" i="33"/>
  <c r="T336" i="33" s="1"/>
  <c r="T323" i="33" s="1"/>
  <c r="T36" i="24" s="1"/>
  <c r="AC295" i="33"/>
  <c r="AC34" i="24" s="1"/>
  <c r="AC322" i="33"/>
  <c r="AC336" i="33" s="1"/>
  <c r="AC323" i="33" s="1"/>
  <c r="AC36" i="24" s="1"/>
  <c r="S295" i="33"/>
  <c r="S322" i="33"/>
  <c r="S336" i="33" s="1"/>
  <c r="S323" i="33" s="1"/>
  <c r="S36" i="24" s="1"/>
  <c r="Y295" i="33"/>
  <c r="Y322" i="33"/>
  <c r="Y336" i="33" s="1"/>
  <c r="Y323" i="33" s="1"/>
  <c r="Y36" i="24" s="1"/>
  <c r="W295" i="33"/>
  <c r="W322" i="33"/>
  <c r="W336" i="33" s="1"/>
  <c r="W323" i="33" s="1"/>
  <c r="W36" i="24" s="1"/>
  <c r="W243" i="33"/>
  <c r="W238" i="33"/>
  <c r="W239" i="33"/>
  <c r="Y191" i="33"/>
  <c r="W246" i="33"/>
  <c r="W244" i="33"/>
  <c r="W249" i="33"/>
  <c r="W240" i="33"/>
  <c r="S189" i="33"/>
  <c r="W250" i="33"/>
  <c r="W237" i="33" s="1"/>
  <c r="W28" i="24" s="1"/>
  <c r="W245" i="33"/>
  <c r="W248" i="33"/>
  <c r="W241" i="33"/>
  <c r="Y187" i="33"/>
  <c r="W247" i="33"/>
  <c r="AC185" i="33"/>
  <c r="W242" i="33"/>
  <c r="AC25" i="24"/>
  <c r="L273" i="33"/>
  <c r="L287" i="33" s="1"/>
  <c r="L245" i="33"/>
  <c r="L259" i="33" s="1"/>
  <c r="L269" i="33"/>
  <c r="L283" i="33" s="1"/>
  <c r="L241" i="33"/>
  <c r="L255" i="33" s="1"/>
  <c r="L274" i="33"/>
  <c r="L288" i="33" s="1"/>
  <c r="L246" i="33"/>
  <c r="L260" i="33" s="1"/>
  <c r="L266" i="33"/>
  <c r="L280" i="33" s="1"/>
  <c r="L238" i="33"/>
  <c r="L252" i="33" s="1"/>
  <c r="L270" i="33"/>
  <c r="L284" i="33" s="1"/>
  <c r="L242" i="33"/>
  <c r="L256" i="33" s="1"/>
  <c r="L268" i="33"/>
  <c r="L282" i="33" s="1"/>
  <c r="L240" i="33"/>
  <c r="L254" i="33" s="1"/>
  <c r="L267" i="33"/>
  <c r="L281" i="33" s="1"/>
  <c r="L239" i="33"/>
  <c r="L253" i="33" s="1"/>
  <c r="L275" i="33"/>
  <c r="L289" i="33" s="1"/>
  <c r="L247" i="33"/>
  <c r="L261" i="33" s="1"/>
  <c r="L276" i="33"/>
  <c r="L290" i="33" s="1"/>
  <c r="L248" i="33"/>
  <c r="L262" i="33" s="1"/>
  <c r="L277" i="33"/>
  <c r="L291" i="33" s="1"/>
  <c r="L249" i="33"/>
  <c r="L263" i="33" s="1"/>
  <c r="L272" i="33"/>
  <c r="L286" i="33" s="1"/>
  <c r="L244" i="33"/>
  <c r="L258" i="33" s="1"/>
  <c r="L271" i="33"/>
  <c r="L285" i="33" s="1"/>
  <c r="L243" i="33"/>
  <c r="L257" i="33" s="1"/>
  <c r="L16" i="24"/>
  <c r="N46" i="33"/>
  <c r="N60" i="33" s="1"/>
  <c r="W60" i="33"/>
  <c r="W160" i="33"/>
  <c r="R150" i="33"/>
  <c r="S150" i="33" s="1"/>
  <c r="S137" i="33" s="1"/>
  <c r="S19" i="24" s="1"/>
  <c r="Z164" i="33"/>
  <c r="Z151" i="33" s="1"/>
  <c r="Z20" i="24" s="1"/>
  <c r="T164" i="33"/>
  <c r="T151" i="33" s="1"/>
  <c r="T20" i="24" s="1"/>
  <c r="Z157" i="33"/>
  <c r="T157" i="33"/>
  <c r="R144" i="33"/>
  <c r="R158" i="33" s="1"/>
  <c r="Z158" i="33"/>
  <c r="T158" i="33"/>
  <c r="W58" i="33"/>
  <c r="W158" i="33"/>
  <c r="R149" i="33"/>
  <c r="R163" i="33" s="1"/>
  <c r="T163" i="33"/>
  <c r="Z163" i="33"/>
  <c r="Z154" i="33"/>
  <c r="T154" i="33"/>
  <c r="T155" i="33"/>
  <c r="Z155" i="33"/>
  <c r="T153" i="33"/>
  <c r="Z153" i="33"/>
  <c r="X49" i="33"/>
  <c r="X63" i="33" s="1"/>
  <c r="U40" i="33"/>
  <c r="U54" i="33" s="1"/>
  <c r="N38" i="33"/>
  <c r="N52" i="33" s="1"/>
  <c r="N48" i="33"/>
  <c r="N62" i="33" s="1"/>
  <c r="R147" i="33"/>
  <c r="R161" i="33" s="1"/>
  <c r="Z161" i="33"/>
  <c r="T161" i="33"/>
  <c r="R146" i="33"/>
  <c r="R160" i="33" s="1"/>
  <c r="Z160" i="33"/>
  <c r="T160" i="33"/>
  <c r="R142" i="33"/>
  <c r="R156" i="33" s="1"/>
  <c r="T156" i="33"/>
  <c r="Z156" i="33"/>
  <c r="U38" i="33"/>
  <c r="U52" i="33" s="1"/>
  <c r="R148" i="33"/>
  <c r="R162" i="33" s="1"/>
  <c r="Z162" i="33"/>
  <c r="T162" i="33"/>
  <c r="R138" i="33"/>
  <c r="R152" i="33" s="1"/>
  <c r="Z152" i="33"/>
  <c r="T152" i="33"/>
  <c r="R145" i="33"/>
  <c r="R159" i="33" s="1"/>
  <c r="Z159" i="33"/>
  <c r="T159" i="33"/>
  <c r="W75" i="33"/>
  <c r="W147" i="33"/>
  <c r="X47" i="33"/>
  <c r="X61" i="33" s="1"/>
  <c r="W74" i="33"/>
  <c r="W146" i="33"/>
  <c r="Y129" i="33"/>
  <c r="R143" i="33"/>
  <c r="R157" i="33" s="1"/>
  <c r="L167" i="33"/>
  <c r="L181" i="33" s="1"/>
  <c r="W76" i="33"/>
  <c r="W148" i="33"/>
  <c r="W67" i="33"/>
  <c r="W139" i="33"/>
  <c r="W143" i="33"/>
  <c r="W71" i="33"/>
  <c r="U89" i="33"/>
  <c r="W72" i="33"/>
  <c r="W144" i="33"/>
  <c r="W39" i="33"/>
  <c r="W253" i="33" s="1"/>
  <c r="N47" i="33"/>
  <c r="N61" i="33" s="1"/>
  <c r="W149" i="33"/>
  <c r="W77" i="33"/>
  <c r="W68" i="33"/>
  <c r="W140" i="33"/>
  <c r="W145" i="33"/>
  <c r="W73" i="33"/>
  <c r="AB126" i="33"/>
  <c r="R140" i="33"/>
  <c r="R154" i="33" s="1"/>
  <c r="Q188" i="33"/>
  <c r="Q146" i="33"/>
  <c r="W78" i="33"/>
  <c r="W65" i="33" s="1"/>
  <c r="W12" i="24" s="1"/>
  <c r="AE12" i="24" s="1"/>
  <c r="W150" i="33"/>
  <c r="W137" i="33" s="1"/>
  <c r="W19" i="24" s="1"/>
  <c r="Q182" i="33"/>
  <c r="Q140" i="33"/>
  <c r="U47" i="33"/>
  <c r="U61" i="33" s="1"/>
  <c r="S125" i="33"/>
  <c r="R139" i="33"/>
  <c r="R153" i="33" s="1"/>
  <c r="U81" i="33"/>
  <c r="W47" i="33"/>
  <c r="W261" i="33" s="1"/>
  <c r="S127" i="33"/>
  <c r="R141" i="33"/>
  <c r="R155" i="33" s="1"/>
  <c r="U44" i="33"/>
  <c r="U58" i="33" s="1"/>
  <c r="W66" i="33"/>
  <c r="W138" i="33"/>
  <c r="Q187" i="33"/>
  <c r="Q145" i="33"/>
  <c r="W141" i="33"/>
  <c r="W69" i="33"/>
  <c r="W70" i="33"/>
  <c r="W142" i="33"/>
  <c r="W40" i="33"/>
  <c r="W254" i="33" s="1"/>
  <c r="U39" i="33"/>
  <c r="U53" i="33" s="1"/>
  <c r="X48" i="33"/>
  <c r="X62" i="33" s="1"/>
  <c r="W48" i="33"/>
  <c r="W262" i="33" s="1"/>
  <c r="U90" i="33"/>
  <c r="W49" i="33"/>
  <c r="W263" i="33" s="1"/>
  <c r="X43" i="33"/>
  <c r="X57" i="33" s="1"/>
  <c r="X40" i="33"/>
  <c r="X54" i="33" s="1"/>
  <c r="U48" i="33"/>
  <c r="U62" i="33" s="1"/>
  <c r="U49" i="33"/>
  <c r="U63" i="33" s="1"/>
  <c r="U85" i="33"/>
  <c r="W38" i="33"/>
  <c r="W252" i="33" s="1"/>
  <c r="U91" i="33"/>
  <c r="N40" i="33"/>
  <c r="N54" i="33" s="1"/>
  <c r="N49" i="33"/>
  <c r="N63" i="33" s="1"/>
  <c r="W43" i="33"/>
  <c r="W257" i="33" s="1"/>
  <c r="U87" i="33"/>
  <c r="U86" i="33"/>
  <c r="U80" i="33"/>
  <c r="X38" i="33"/>
  <c r="X52" i="33" s="1"/>
  <c r="U43" i="33"/>
  <c r="U57" i="33" s="1"/>
  <c r="G57" i="33"/>
  <c r="N44" i="33"/>
  <c r="N58" i="33" s="1"/>
  <c r="G58" i="33"/>
  <c r="U42" i="33"/>
  <c r="U56" i="33" s="1"/>
  <c r="G56" i="33"/>
  <c r="U45" i="33"/>
  <c r="U59" i="33" s="1"/>
  <c r="N42" i="33"/>
  <c r="N56" i="33" s="1"/>
  <c r="W42" i="33"/>
  <c r="W256" i="33" s="1"/>
  <c r="N39" i="33"/>
  <c r="N53" i="33" s="1"/>
  <c r="G53" i="33"/>
  <c r="W41" i="33"/>
  <c r="W255" i="33" s="1"/>
  <c r="G55" i="33"/>
  <c r="U84" i="33"/>
  <c r="U88" i="33"/>
  <c r="G60" i="33"/>
  <c r="X46" i="33"/>
  <c r="X60" i="33" s="1"/>
  <c r="U46" i="33"/>
  <c r="U60" i="33" s="1"/>
  <c r="U41" i="33"/>
  <c r="U55" i="33" s="1"/>
  <c r="X45" i="33"/>
  <c r="X59" i="33" s="1"/>
  <c r="N50" i="33"/>
  <c r="N64" i="33" s="1"/>
  <c r="N51" i="33" s="1"/>
  <c r="N11" i="24" s="1"/>
  <c r="G64" i="33"/>
  <c r="N45" i="33"/>
  <c r="N59" i="33" s="1"/>
  <c r="N41" i="33"/>
  <c r="N55" i="33" s="1"/>
  <c r="W45" i="33"/>
  <c r="W259" i="33" s="1"/>
  <c r="F396" i="33"/>
  <c r="L408" i="33"/>
  <c r="L395" i="33" s="1"/>
  <c r="Q174" i="33"/>
  <c r="Q132" i="33"/>
  <c r="Q160" i="33" s="1"/>
  <c r="Q166" i="33"/>
  <c r="Q124" i="33"/>
  <c r="Q152" i="33" s="1"/>
  <c r="Q110" i="33"/>
  <c r="Q113" i="33"/>
  <c r="Q172" i="33"/>
  <c r="Q120" i="33"/>
  <c r="Q127" i="33"/>
  <c r="Q155" i="33" s="1"/>
  <c r="Q128" i="33"/>
  <c r="Q156" i="33" s="1"/>
  <c r="Q114" i="33"/>
  <c r="M204" i="33"/>
  <c r="M218" i="33" s="1"/>
  <c r="M232" i="33" s="1"/>
  <c r="AB204" i="33"/>
  <c r="Q204" i="33"/>
  <c r="G218" i="33"/>
  <c r="G274" i="33"/>
  <c r="X204" i="33"/>
  <c r="U204" i="33"/>
  <c r="U98" i="33"/>
  <c r="M98" i="33"/>
  <c r="M112" i="33" s="1"/>
  <c r="M126" i="33" s="1"/>
  <c r="AB98" i="33"/>
  <c r="G112" i="33"/>
  <c r="G168" i="33"/>
  <c r="Q303" i="33"/>
  <c r="AB303" i="33"/>
  <c r="AB317" i="33" s="1"/>
  <c r="U303" i="33"/>
  <c r="U317" i="33" s="1"/>
  <c r="G345" i="33"/>
  <c r="X303" i="33"/>
  <c r="X317" i="33" s="1"/>
  <c r="U431" i="33"/>
  <c r="Q431" i="33"/>
  <c r="AB431" i="33"/>
  <c r="X431" i="33"/>
  <c r="Q116" i="33"/>
  <c r="F31" i="35"/>
  <c r="AB104" i="33"/>
  <c r="G174" i="33"/>
  <c r="M104" i="33"/>
  <c r="M118" i="33" s="1"/>
  <c r="M132" i="33" s="1"/>
  <c r="G118" i="33"/>
  <c r="U104" i="33"/>
  <c r="G400" i="33"/>
  <c r="X358" i="33"/>
  <c r="X372" i="33" s="1"/>
  <c r="X386" i="33" s="1"/>
  <c r="U358" i="33"/>
  <c r="U372" i="33" s="1"/>
  <c r="U386" i="33" s="1"/>
  <c r="Q358" i="33"/>
  <c r="Q372" i="33" s="1"/>
  <c r="Q386" i="33" s="1"/>
  <c r="AB358" i="33"/>
  <c r="AB372" i="33" s="1"/>
  <c r="AB386" i="33" s="1"/>
  <c r="AB206" i="33"/>
  <c r="G220" i="33"/>
  <c r="Q206" i="33"/>
  <c r="M206" i="33"/>
  <c r="M220" i="33" s="1"/>
  <c r="M234" i="33" s="1"/>
  <c r="G276" i="33"/>
  <c r="U206" i="33"/>
  <c r="X206" i="33"/>
  <c r="X432" i="33"/>
  <c r="Q432" i="33"/>
  <c r="U432" i="33"/>
  <c r="AB432" i="33"/>
  <c r="AB428" i="33"/>
  <c r="X428" i="33"/>
  <c r="U428" i="33"/>
  <c r="Q428" i="33"/>
  <c r="Q207" i="33"/>
  <c r="G221" i="33"/>
  <c r="M207" i="33"/>
  <c r="M221" i="33" s="1"/>
  <c r="M235" i="33" s="1"/>
  <c r="G277" i="33"/>
  <c r="AB207" i="33"/>
  <c r="X207" i="33"/>
  <c r="U207" i="33"/>
  <c r="AB361" i="33"/>
  <c r="AB375" i="33" s="1"/>
  <c r="AB389" i="33" s="1"/>
  <c r="X361" i="33"/>
  <c r="X375" i="33" s="1"/>
  <c r="X389" i="33" s="1"/>
  <c r="G403" i="33"/>
  <c r="U361" i="33"/>
  <c r="U375" i="33" s="1"/>
  <c r="U389" i="33" s="1"/>
  <c r="Q361" i="33"/>
  <c r="Q375" i="33" s="1"/>
  <c r="Q389" i="33" s="1"/>
  <c r="AB201" i="33"/>
  <c r="X201" i="33"/>
  <c r="Q201" i="33"/>
  <c r="G271" i="33"/>
  <c r="U201" i="33"/>
  <c r="G215" i="33"/>
  <c r="M201" i="33"/>
  <c r="M215" i="33" s="1"/>
  <c r="M229" i="33" s="1"/>
  <c r="Q111" i="33"/>
  <c r="X304" i="33"/>
  <c r="X318" i="33" s="1"/>
  <c r="G346" i="33"/>
  <c r="U304" i="33"/>
  <c r="U318" i="33" s="1"/>
  <c r="Q304" i="33"/>
  <c r="AB304" i="33"/>
  <c r="AB318" i="33" s="1"/>
  <c r="AB354" i="33"/>
  <c r="AB368" i="33" s="1"/>
  <c r="AB382" i="33" s="1"/>
  <c r="G396" i="33"/>
  <c r="X354" i="33"/>
  <c r="X368" i="33" s="1"/>
  <c r="X382" i="33" s="1"/>
  <c r="U354" i="33"/>
  <c r="U368" i="33" s="1"/>
  <c r="U382" i="33" s="1"/>
  <c r="Q354" i="33"/>
  <c r="Q368" i="33" s="1"/>
  <c r="Q382" i="33" s="1"/>
  <c r="Q205" i="33"/>
  <c r="U205" i="33"/>
  <c r="M205" i="33"/>
  <c r="M219" i="33" s="1"/>
  <c r="M233" i="33" s="1"/>
  <c r="G275" i="33"/>
  <c r="AB205" i="33"/>
  <c r="G219" i="33"/>
  <c r="X205" i="33"/>
  <c r="G406" i="33"/>
  <c r="Q364" i="33"/>
  <c r="Q378" i="33" s="1"/>
  <c r="Q392" i="33" s="1"/>
  <c r="AB364" i="33"/>
  <c r="AB378" i="33" s="1"/>
  <c r="AB392" i="33" s="1"/>
  <c r="X364" i="33"/>
  <c r="X378" i="33" s="1"/>
  <c r="X392" i="33" s="1"/>
  <c r="U364" i="33"/>
  <c r="U378" i="33" s="1"/>
  <c r="U392" i="33" s="1"/>
  <c r="X202" i="33"/>
  <c r="G216" i="33"/>
  <c r="AB202" i="33"/>
  <c r="U202" i="33"/>
  <c r="G272" i="33"/>
  <c r="Q202" i="33"/>
  <c r="M202" i="33"/>
  <c r="M216" i="33" s="1"/>
  <c r="M230" i="33" s="1"/>
  <c r="Q307" i="33"/>
  <c r="AB307" i="33"/>
  <c r="AB321" i="33" s="1"/>
  <c r="G349" i="33"/>
  <c r="X307" i="33"/>
  <c r="X321" i="33" s="1"/>
  <c r="U307" i="33"/>
  <c r="U321" i="33" s="1"/>
  <c r="AB203" i="33"/>
  <c r="G273" i="33"/>
  <c r="X203" i="33"/>
  <c r="G217" i="33"/>
  <c r="U203" i="33"/>
  <c r="Q203" i="33"/>
  <c r="M203" i="33"/>
  <c r="M217" i="33" s="1"/>
  <c r="M231" i="33" s="1"/>
  <c r="U359" i="33"/>
  <c r="U373" i="33" s="1"/>
  <c r="U387" i="33" s="1"/>
  <c r="X359" i="33"/>
  <c r="X373" i="33" s="1"/>
  <c r="X387" i="33" s="1"/>
  <c r="Q359" i="33"/>
  <c r="Q373" i="33" s="1"/>
  <c r="Q387" i="33" s="1"/>
  <c r="G401" i="33"/>
  <c r="AB359" i="33"/>
  <c r="AB373" i="33" s="1"/>
  <c r="AB387" i="33" s="1"/>
  <c r="Q299" i="33"/>
  <c r="U299" i="33"/>
  <c r="U313" i="33" s="1"/>
  <c r="AB299" i="33"/>
  <c r="AB313" i="33" s="1"/>
  <c r="G341" i="33"/>
  <c r="X299" i="33"/>
  <c r="X313" i="33" s="1"/>
  <c r="AB434" i="33"/>
  <c r="Q434" i="33"/>
  <c r="X434" i="33"/>
  <c r="U434" i="33"/>
  <c r="G266" i="33"/>
  <c r="Q196" i="33"/>
  <c r="G210" i="33"/>
  <c r="M196" i="33"/>
  <c r="M210" i="33" s="1"/>
  <c r="M224" i="33" s="1"/>
  <c r="AB196" i="33"/>
  <c r="U196" i="33"/>
  <c r="X196" i="33"/>
  <c r="AB363" i="33"/>
  <c r="AB377" i="33" s="1"/>
  <c r="AB391" i="33" s="1"/>
  <c r="G405" i="33"/>
  <c r="X363" i="33"/>
  <c r="X377" i="33" s="1"/>
  <c r="X391" i="33" s="1"/>
  <c r="U363" i="33"/>
  <c r="U377" i="33" s="1"/>
  <c r="U391" i="33" s="1"/>
  <c r="Q363" i="33"/>
  <c r="Q377" i="33" s="1"/>
  <c r="Q391" i="33" s="1"/>
  <c r="M106" i="33"/>
  <c r="M120" i="33" s="1"/>
  <c r="M134" i="33" s="1"/>
  <c r="AB106" i="33"/>
  <c r="U106" i="33"/>
  <c r="G120" i="33"/>
  <c r="G176" i="33"/>
  <c r="G402" i="33"/>
  <c r="AB360" i="33"/>
  <c r="AB374" i="33" s="1"/>
  <c r="AB388" i="33" s="1"/>
  <c r="U360" i="33"/>
  <c r="U374" i="33" s="1"/>
  <c r="U388" i="33" s="1"/>
  <c r="X360" i="33"/>
  <c r="X374" i="33" s="1"/>
  <c r="X388" i="33" s="1"/>
  <c r="Q360" i="33"/>
  <c r="Q374" i="33" s="1"/>
  <c r="Q388" i="33" s="1"/>
  <c r="G121" i="33"/>
  <c r="M107" i="33"/>
  <c r="M121" i="33" s="1"/>
  <c r="M135" i="33" s="1"/>
  <c r="U107" i="33"/>
  <c r="G177" i="33"/>
  <c r="AB107" i="33"/>
  <c r="U197" i="33"/>
  <c r="X197" i="33"/>
  <c r="Q197" i="33"/>
  <c r="M197" i="33"/>
  <c r="M211" i="33" s="1"/>
  <c r="M225" i="33" s="1"/>
  <c r="G267" i="33"/>
  <c r="G211" i="33"/>
  <c r="AB197" i="33"/>
  <c r="Q135" i="33"/>
  <c r="Q163" i="33" s="1"/>
  <c r="AB96" i="33"/>
  <c r="G166" i="33"/>
  <c r="U96" i="33"/>
  <c r="M96" i="33"/>
  <c r="M110" i="33" s="1"/>
  <c r="M124" i="33" s="1"/>
  <c r="G110" i="33"/>
  <c r="G175" i="33"/>
  <c r="U105" i="33"/>
  <c r="M105" i="33"/>
  <c r="M119" i="33" s="1"/>
  <c r="M133" i="33" s="1"/>
  <c r="G119" i="33"/>
  <c r="AB105" i="33"/>
  <c r="G348" i="33"/>
  <c r="X306" i="33"/>
  <c r="X320" i="33" s="1"/>
  <c r="AB306" i="33"/>
  <c r="AB320" i="33" s="1"/>
  <c r="U306" i="33"/>
  <c r="U320" i="33" s="1"/>
  <c r="Q306" i="33"/>
  <c r="AB437" i="33"/>
  <c r="X437" i="33"/>
  <c r="U437" i="33"/>
  <c r="Q437" i="33"/>
  <c r="U357" i="33"/>
  <c r="U371" i="33" s="1"/>
  <c r="U385" i="33" s="1"/>
  <c r="Q357" i="33"/>
  <c r="Q371" i="33" s="1"/>
  <c r="Q385" i="33" s="1"/>
  <c r="G399" i="33"/>
  <c r="AB357" i="33"/>
  <c r="AB371" i="33" s="1"/>
  <c r="AB385" i="33" s="1"/>
  <c r="X357" i="33"/>
  <c r="X371" i="33" s="1"/>
  <c r="X385" i="33" s="1"/>
  <c r="AB355" i="33"/>
  <c r="AB369" i="33" s="1"/>
  <c r="AB383" i="33" s="1"/>
  <c r="G397" i="33"/>
  <c r="X355" i="33"/>
  <c r="X369" i="33" s="1"/>
  <c r="X383" i="33" s="1"/>
  <c r="U355" i="33"/>
  <c r="U369" i="33" s="1"/>
  <c r="U383" i="33" s="1"/>
  <c r="Q355" i="33"/>
  <c r="Q369" i="33" s="1"/>
  <c r="Q383" i="33" s="1"/>
  <c r="Q200" i="33"/>
  <c r="AB200" i="33"/>
  <c r="G214" i="33"/>
  <c r="X200" i="33"/>
  <c r="U200" i="33"/>
  <c r="G270" i="33"/>
  <c r="M200" i="33"/>
  <c r="M214" i="33" s="1"/>
  <c r="M228" i="33" s="1"/>
  <c r="G344" i="33"/>
  <c r="X302" i="33"/>
  <c r="X316" i="33" s="1"/>
  <c r="AB302" i="33"/>
  <c r="AB316" i="33" s="1"/>
  <c r="U302" i="33"/>
  <c r="U316" i="33" s="1"/>
  <c r="Q302" i="33"/>
  <c r="U365" i="33"/>
  <c r="U379" i="33" s="1"/>
  <c r="U393" i="33" s="1"/>
  <c r="Q365" i="33"/>
  <c r="Q379" i="33" s="1"/>
  <c r="Q393" i="33" s="1"/>
  <c r="G407" i="33"/>
  <c r="AB365" i="33"/>
  <c r="AB379" i="33" s="1"/>
  <c r="AB393" i="33" s="1"/>
  <c r="X365" i="33"/>
  <c r="X379" i="33" s="1"/>
  <c r="X393" i="33" s="1"/>
  <c r="Q125" i="33"/>
  <c r="Q153" i="33" s="1"/>
  <c r="Q121" i="33"/>
  <c r="Q176" i="33"/>
  <c r="G114" i="33"/>
  <c r="G170" i="33"/>
  <c r="U100" i="33"/>
  <c r="AB100" i="33"/>
  <c r="M100" i="33"/>
  <c r="M114" i="33" s="1"/>
  <c r="M128" i="33" s="1"/>
  <c r="X296" i="33"/>
  <c r="X310" i="33" s="1"/>
  <c r="G338" i="33"/>
  <c r="U296" i="33"/>
  <c r="U310" i="33" s="1"/>
  <c r="Q296" i="33"/>
  <c r="AB296" i="33"/>
  <c r="AB310" i="33" s="1"/>
  <c r="AB305" i="33"/>
  <c r="AB319" i="33" s="1"/>
  <c r="U305" i="33"/>
  <c r="U319" i="33" s="1"/>
  <c r="Q305" i="33"/>
  <c r="X305" i="33"/>
  <c r="X319" i="33" s="1"/>
  <c r="G347" i="33"/>
  <c r="X436" i="33"/>
  <c r="AB436" i="33"/>
  <c r="U436" i="33"/>
  <c r="Q436" i="33"/>
  <c r="G268" i="33"/>
  <c r="U198" i="33"/>
  <c r="X198" i="33"/>
  <c r="G212" i="33"/>
  <c r="Q198" i="33"/>
  <c r="M198" i="33"/>
  <c r="M212" i="33" s="1"/>
  <c r="M226" i="33" s="1"/>
  <c r="AB198" i="33"/>
  <c r="X199" i="33"/>
  <c r="Q199" i="33"/>
  <c r="G269" i="33"/>
  <c r="U199" i="33"/>
  <c r="M199" i="33"/>
  <c r="M213" i="33" s="1"/>
  <c r="M227" i="33" s="1"/>
  <c r="G213" i="33"/>
  <c r="AB199" i="33"/>
  <c r="G167" i="33"/>
  <c r="G111" i="33"/>
  <c r="AB97" i="33"/>
  <c r="M97" i="33"/>
  <c r="M111" i="33" s="1"/>
  <c r="M125" i="33" s="1"/>
  <c r="U97" i="33"/>
  <c r="F29" i="35"/>
  <c r="X300" i="33"/>
  <c r="X314" i="33" s="1"/>
  <c r="Q300" i="33"/>
  <c r="G342" i="33"/>
  <c r="U300" i="33"/>
  <c r="U314" i="33" s="1"/>
  <c r="AB300" i="33"/>
  <c r="AB314" i="33" s="1"/>
  <c r="AB426" i="33"/>
  <c r="X426" i="33"/>
  <c r="U426" i="33"/>
  <c r="Q426" i="33"/>
  <c r="U435" i="33"/>
  <c r="AB435" i="33"/>
  <c r="X435" i="33"/>
  <c r="Q435" i="33"/>
  <c r="G398" i="33"/>
  <c r="Q356" i="33"/>
  <c r="Q370" i="33" s="1"/>
  <c r="Q384" i="33" s="1"/>
  <c r="AB356" i="33"/>
  <c r="AB370" i="33" s="1"/>
  <c r="AB384" i="33" s="1"/>
  <c r="X356" i="33"/>
  <c r="X370" i="33" s="1"/>
  <c r="X384" i="33" s="1"/>
  <c r="U356" i="33"/>
  <c r="U370" i="33" s="1"/>
  <c r="U384" i="33" s="1"/>
  <c r="X433" i="33"/>
  <c r="U433" i="33"/>
  <c r="Q433" i="33"/>
  <c r="AB433" i="33"/>
  <c r="AB99" i="33"/>
  <c r="M99" i="33"/>
  <c r="M113" i="33" s="1"/>
  <c r="M127" i="33" s="1"/>
  <c r="G113" i="33"/>
  <c r="G169" i="33"/>
  <c r="U99" i="33"/>
  <c r="AB101" i="33"/>
  <c r="M101" i="33"/>
  <c r="M115" i="33" s="1"/>
  <c r="M129" i="33" s="1"/>
  <c r="U101" i="33"/>
  <c r="G115" i="33"/>
  <c r="G171" i="33"/>
  <c r="AB297" i="33"/>
  <c r="AB311" i="33" s="1"/>
  <c r="X297" i="33"/>
  <c r="X311" i="33" s="1"/>
  <c r="U297" i="33"/>
  <c r="U311" i="33" s="1"/>
  <c r="Q297" i="33"/>
  <c r="G339" i="33"/>
  <c r="F12" i="35"/>
  <c r="G404" i="33"/>
  <c r="AB362" i="33"/>
  <c r="AB376" i="33" s="1"/>
  <c r="AB390" i="33" s="1"/>
  <c r="X362" i="33"/>
  <c r="X376" i="33" s="1"/>
  <c r="X390" i="33" s="1"/>
  <c r="U362" i="33"/>
  <c r="U376" i="33" s="1"/>
  <c r="U390" i="33" s="1"/>
  <c r="Q362" i="33"/>
  <c r="Q376" i="33" s="1"/>
  <c r="Q390" i="33" s="1"/>
  <c r="Q430" i="33"/>
  <c r="AB430" i="33"/>
  <c r="X430" i="33"/>
  <c r="U430" i="33"/>
  <c r="M102" i="33"/>
  <c r="M116" i="33" s="1"/>
  <c r="M130" i="33" s="1"/>
  <c r="U102" i="33"/>
  <c r="G116" i="33"/>
  <c r="AB102" i="33"/>
  <c r="G172" i="33"/>
  <c r="X298" i="33"/>
  <c r="X312" i="33" s="1"/>
  <c r="G340" i="33"/>
  <c r="AB298" i="33"/>
  <c r="AB312" i="33" s="1"/>
  <c r="U298" i="33"/>
  <c r="U312" i="33" s="1"/>
  <c r="Q298" i="33"/>
  <c r="G117" i="33"/>
  <c r="G173" i="33"/>
  <c r="M103" i="33"/>
  <c r="M117" i="33" s="1"/>
  <c r="M131" i="33" s="1"/>
  <c r="AB103" i="33"/>
  <c r="U103" i="33"/>
  <c r="AB429" i="33"/>
  <c r="X429" i="33"/>
  <c r="U429" i="33"/>
  <c r="Q429" i="33"/>
  <c r="AB301" i="33"/>
  <c r="AB315" i="33" s="1"/>
  <c r="Q301" i="33"/>
  <c r="X301" i="33"/>
  <c r="X315" i="33" s="1"/>
  <c r="U301" i="33"/>
  <c r="U315" i="33" s="1"/>
  <c r="G343" i="33"/>
  <c r="X427" i="33"/>
  <c r="AB427" i="33"/>
  <c r="U427" i="33"/>
  <c r="Q427" i="33"/>
  <c r="AB308" i="33"/>
  <c r="U308" i="33"/>
  <c r="Q308" i="33"/>
  <c r="Q322" i="33" s="1"/>
  <c r="G350" i="33"/>
  <c r="X308" i="33"/>
  <c r="G295" i="33"/>
  <c r="M108" i="33"/>
  <c r="M122" i="33" s="1"/>
  <c r="G178" i="33"/>
  <c r="AB108" i="33"/>
  <c r="U108" i="33"/>
  <c r="X208" i="33"/>
  <c r="X195" i="33" s="1"/>
  <c r="X25" i="24" s="1"/>
  <c r="U208" i="33"/>
  <c r="U195" i="33" s="1"/>
  <c r="U25" i="24" s="1"/>
  <c r="G278" i="33"/>
  <c r="M208" i="33"/>
  <c r="G222" i="33"/>
  <c r="AB208" i="33"/>
  <c r="AB195" i="33" s="1"/>
  <c r="AB25" i="24" s="1"/>
  <c r="Q208" i="33"/>
  <c r="G195" i="33"/>
  <c r="G25" i="24" s="1"/>
  <c r="X438" i="33"/>
  <c r="X425" i="33" s="1"/>
  <c r="X47" i="24" s="1"/>
  <c r="U438" i="33"/>
  <c r="U425" i="33" s="1"/>
  <c r="U47" i="24" s="1"/>
  <c r="Q438" i="33"/>
  <c r="Q425" i="33" s="1"/>
  <c r="Q47" i="24" s="1"/>
  <c r="AB438" i="33"/>
  <c r="AB425" i="33" s="1"/>
  <c r="AB47" i="24" s="1"/>
  <c r="G425" i="33"/>
  <c r="G47" i="24" s="1"/>
  <c r="Q366" i="33"/>
  <c r="Q380" i="33" s="1"/>
  <c r="Q394" i="33" s="1"/>
  <c r="Q381" i="33" s="1"/>
  <c r="Q42" i="24" s="1"/>
  <c r="AB366" i="33"/>
  <c r="X366" i="33"/>
  <c r="U366" i="33"/>
  <c r="G408" i="33"/>
  <c r="G353" i="33"/>
  <c r="L40" i="24"/>
  <c r="L26" i="24"/>
  <c r="Y435" i="33"/>
  <c r="Z435" i="33"/>
  <c r="S435" i="33"/>
  <c r="AC435" i="33"/>
  <c r="T435" i="33"/>
  <c r="Z432" i="33"/>
  <c r="AC432" i="33"/>
  <c r="T432" i="33"/>
  <c r="Y432" i="33"/>
  <c r="S432" i="33"/>
  <c r="S430" i="33"/>
  <c r="Z430" i="33"/>
  <c r="Y430" i="33"/>
  <c r="T430" i="33"/>
  <c r="AC430" i="33"/>
  <c r="Z431" i="33"/>
  <c r="Y431" i="33"/>
  <c r="S431" i="33"/>
  <c r="T431" i="33"/>
  <c r="AC431" i="33"/>
  <c r="S428" i="33"/>
  <c r="Y428" i="33"/>
  <c r="Z428" i="33"/>
  <c r="T428" i="33"/>
  <c r="AC428" i="33"/>
  <c r="Y434" i="33"/>
  <c r="S434" i="33"/>
  <c r="T434" i="33"/>
  <c r="AC434" i="33"/>
  <c r="Z434" i="33"/>
  <c r="Y429" i="33"/>
  <c r="S429" i="33"/>
  <c r="Z429" i="33"/>
  <c r="T429" i="33"/>
  <c r="AC429" i="33"/>
  <c r="Y426" i="33"/>
  <c r="AC426" i="33"/>
  <c r="S426" i="33"/>
  <c r="Z426" i="33"/>
  <c r="T426" i="33"/>
  <c r="AC125" i="33"/>
  <c r="AC127" i="33"/>
  <c r="Y125" i="33"/>
  <c r="Z307" i="33"/>
  <c r="Z321" i="33" s="1"/>
  <c r="AC307" i="33"/>
  <c r="AC321" i="33" s="1"/>
  <c r="T307" i="33"/>
  <c r="T321" i="33" s="1"/>
  <c r="S307" i="33"/>
  <c r="S321" i="33" s="1"/>
  <c r="R349" i="33"/>
  <c r="Y307" i="33"/>
  <c r="Y321" i="33" s="1"/>
  <c r="AC350" i="33"/>
  <c r="AC337" i="33" s="1"/>
  <c r="AC37" i="24" s="1"/>
  <c r="S350" i="33"/>
  <c r="S337" i="33" s="1"/>
  <c r="S37" i="24" s="1"/>
  <c r="R337" i="33"/>
  <c r="R37" i="24" s="1"/>
  <c r="T350" i="33"/>
  <c r="T337" i="33" s="1"/>
  <c r="T37" i="24" s="1"/>
  <c r="Y350" i="33"/>
  <c r="Y337" i="33" s="1"/>
  <c r="Y37" i="24" s="1"/>
  <c r="Z350" i="33"/>
  <c r="Z337" i="33" s="1"/>
  <c r="Z37" i="24" s="1"/>
  <c r="AB125" i="33"/>
  <c r="R341" i="33"/>
  <c r="Z299" i="33"/>
  <c r="Z313" i="33" s="1"/>
  <c r="Y299" i="33"/>
  <c r="Y313" i="33" s="1"/>
  <c r="T299" i="33"/>
  <c r="T313" i="33" s="1"/>
  <c r="AC299" i="33"/>
  <c r="AC313" i="33" s="1"/>
  <c r="S299" i="33"/>
  <c r="S313" i="33" s="1"/>
  <c r="AC343" i="33"/>
  <c r="S343" i="33"/>
  <c r="Y343" i="33"/>
  <c r="T343" i="33"/>
  <c r="Z343" i="33"/>
  <c r="R346" i="33"/>
  <c r="Z304" i="33"/>
  <c r="Z318" i="33" s="1"/>
  <c r="S304" i="33"/>
  <c r="S318" i="33" s="1"/>
  <c r="AC304" i="33"/>
  <c r="AC318" i="33" s="1"/>
  <c r="T304" i="33"/>
  <c r="T318" i="33" s="1"/>
  <c r="Y304" i="33"/>
  <c r="Y318" i="33" s="1"/>
  <c r="Z344" i="33"/>
  <c r="AC344" i="33"/>
  <c r="Y344" i="33"/>
  <c r="S344" i="33"/>
  <c r="T344" i="33"/>
  <c r="R345" i="33"/>
  <c r="S303" i="33"/>
  <c r="S317" i="33" s="1"/>
  <c r="Z303" i="33"/>
  <c r="Z317" i="33" s="1"/>
  <c r="Y303" i="33"/>
  <c r="Y317" i="33" s="1"/>
  <c r="AC303" i="33"/>
  <c r="AC317" i="33" s="1"/>
  <c r="T303" i="33"/>
  <c r="T317" i="33" s="1"/>
  <c r="Z305" i="33"/>
  <c r="Z319" i="33" s="1"/>
  <c r="S305" i="33"/>
  <c r="S319" i="33" s="1"/>
  <c r="Y305" i="33"/>
  <c r="Y319" i="33" s="1"/>
  <c r="T305" i="33"/>
  <c r="T319" i="33" s="1"/>
  <c r="AC305" i="33"/>
  <c r="AC319" i="33" s="1"/>
  <c r="R347" i="33"/>
  <c r="S300" i="33"/>
  <c r="S314" i="33" s="1"/>
  <c r="Y300" i="33"/>
  <c r="Y314" i="33" s="1"/>
  <c r="AC300" i="33"/>
  <c r="AC314" i="33" s="1"/>
  <c r="T300" i="33"/>
  <c r="T314" i="33" s="1"/>
  <c r="Z300" i="33"/>
  <c r="Z314" i="33" s="1"/>
  <c r="R342" i="33"/>
  <c r="Z298" i="33"/>
  <c r="Z312" i="33" s="1"/>
  <c r="R340" i="33"/>
  <c r="Y298" i="33"/>
  <c r="Y312" i="33" s="1"/>
  <c r="AC298" i="33"/>
  <c r="AC312" i="33" s="1"/>
  <c r="T298" i="33"/>
  <c r="T312" i="33" s="1"/>
  <c r="S298" i="33"/>
  <c r="S312" i="33" s="1"/>
  <c r="R338" i="33"/>
  <c r="T296" i="33"/>
  <c r="T310" i="33" s="1"/>
  <c r="AC296" i="33"/>
  <c r="AC310" i="33" s="1"/>
  <c r="S296" i="33"/>
  <c r="S310" i="33" s="1"/>
  <c r="Y296" i="33"/>
  <c r="Y310" i="33" s="1"/>
  <c r="Z296" i="33"/>
  <c r="Z310" i="33" s="1"/>
  <c r="Y306" i="33"/>
  <c r="Y320" i="33" s="1"/>
  <c r="T306" i="33"/>
  <c r="T320" i="33" s="1"/>
  <c r="R348" i="33"/>
  <c r="Z306" i="33"/>
  <c r="Z320" i="33" s="1"/>
  <c r="S306" i="33"/>
  <c r="S320" i="33" s="1"/>
  <c r="AC306" i="33"/>
  <c r="AC320" i="33" s="1"/>
  <c r="Z339" i="33"/>
  <c r="T339" i="33"/>
  <c r="S339" i="33"/>
  <c r="Y339" i="33"/>
  <c r="AC339" i="33"/>
  <c r="S126" i="33"/>
  <c r="Z191" i="33"/>
  <c r="Y127" i="33"/>
  <c r="AC126" i="33"/>
  <c r="AB127" i="33"/>
  <c r="S191" i="33"/>
  <c r="T191" i="33"/>
  <c r="AC191" i="33"/>
  <c r="Y126" i="33"/>
  <c r="L236" i="33"/>
  <c r="AA192" i="33"/>
  <c r="L136" i="33"/>
  <c r="L150" i="33" s="1"/>
  <c r="L109" i="33"/>
  <c r="L17" i="24" s="1"/>
  <c r="Q192" i="33"/>
  <c r="U50" i="33"/>
  <c r="U64" i="33" s="1"/>
  <c r="U51" i="33" s="1"/>
  <c r="U11" i="24" s="1"/>
  <c r="U92" i="33"/>
  <c r="W50" i="33"/>
  <c r="W264" i="33" s="1"/>
  <c r="W251" i="33" s="1"/>
  <c r="W29" i="24" s="1"/>
  <c r="X50" i="33"/>
  <c r="X64" i="33" s="1"/>
  <c r="X51" i="33" s="1"/>
  <c r="X11" i="24" s="1"/>
  <c r="Y185" i="33"/>
  <c r="Z185" i="33"/>
  <c r="AC187" i="33"/>
  <c r="S187" i="33"/>
  <c r="Z189" i="33"/>
  <c r="T189" i="33"/>
  <c r="AC129" i="33"/>
  <c r="S129" i="33"/>
  <c r="AB129" i="33"/>
  <c r="S185" i="33"/>
  <c r="Y189" i="33"/>
  <c r="AC189" i="33"/>
  <c r="T185" i="33"/>
  <c r="Y131" i="33"/>
  <c r="AB131" i="33"/>
  <c r="AC131" i="33"/>
  <c r="T187" i="33"/>
  <c r="S131" i="33"/>
  <c r="Z187" i="33"/>
  <c r="Z181" i="33"/>
  <c r="T181" i="33"/>
  <c r="S181" i="33"/>
  <c r="Y181" i="33"/>
  <c r="AC181" i="33"/>
  <c r="AB124" i="33"/>
  <c r="S124" i="33"/>
  <c r="AC124" i="33"/>
  <c r="Y124" i="33"/>
  <c r="T190" i="33"/>
  <c r="AC190" i="33"/>
  <c r="Z190" i="33"/>
  <c r="Y190" i="33"/>
  <c r="S190" i="33"/>
  <c r="S192" i="33"/>
  <c r="Y192" i="33"/>
  <c r="T192" i="33"/>
  <c r="Z192" i="33"/>
  <c r="AC192" i="33"/>
  <c r="T182" i="33"/>
  <c r="AC182" i="33"/>
  <c r="Y182" i="33"/>
  <c r="Z182" i="33"/>
  <c r="S182" i="33"/>
  <c r="T186" i="33"/>
  <c r="AC186" i="33"/>
  <c r="S186" i="33"/>
  <c r="Z186" i="33"/>
  <c r="Y186" i="33"/>
  <c r="AB128" i="33"/>
  <c r="S128" i="33"/>
  <c r="AC128" i="33"/>
  <c r="Y128" i="33"/>
  <c r="AB132" i="33"/>
  <c r="Y132" i="33"/>
  <c r="AC132" i="33"/>
  <c r="S132" i="33"/>
  <c r="AB134" i="33"/>
  <c r="Y134" i="33"/>
  <c r="S134" i="33"/>
  <c r="AC134" i="33"/>
  <c r="Z180" i="33"/>
  <c r="T180" i="33"/>
  <c r="S180" i="33"/>
  <c r="AC180" i="33"/>
  <c r="Y180" i="33"/>
  <c r="Z188" i="33"/>
  <c r="Y188" i="33"/>
  <c r="AC188" i="33"/>
  <c r="T188" i="33"/>
  <c r="S188" i="33"/>
  <c r="T183" i="33"/>
  <c r="Z183" i="33"/>
  <c r="S183" i="33"/>
  <c r="Y183" i="33"/>
  <c r="AC183" i="33"/>
  <c r="S133" i="33"/>
  <c r="Y133" i="33"/>
  <c r="AB133" i="33"/>
  <c r="AC133" i="33"/>
  <c r="AB130" i="33"/>
  <c r="Y130" i="33"/>
  <c r="AC130" i="33"/>
  <c r="S130" i="33"/>
  <c r="Z184" i="33"/>
  <c r="AC184" i="33"/>
  <c r="Y184" i="33"/>
  <c r="S184" i="33"/>
  <c r="T184" i="33"/>
  <c r="S136" i="33"/>
  <c r="Y136" i="33"/>
  <c r="AC136" i="33"/>
  <c r="AB136" i="33"/>
  <c r="AC135" i="33"/>
  <c r="S135" i="33"/>
  <c r="AB135" i="33"/>
  <c r="Y135" i="33"/>
  <c r="L147" i="33" l="1"/>
  <c r="L161" i="33" s="1"/>
  <c r="L146" i="33"/>
  <c r="L160" i="33" s="1"/>
  <c r="L143" i="33"/>
  <c r="L157" i="33" s="1"/>
  <c r="L144" i="33"/>
  <c r="L158" i="33" s="1"/>
  <c r="L140" i="33"/>
  <c r="L154" i="33" s="1"/>
  <c r="L142" i="33"/>
  <c r="L156" i="33" s="1"/>
  <c r="L367" i="33"/>
  <c r="L41" i="24" s="1"/>
  <c r="L394" i="33"/>
  <c r="L381" i="33" s="1"/>
  <c r="L42" i="24" s="1"/>
  <c r="L177" i="33"/>
  <c r="L191" i="33" s="1"/>
  <c r="L138" i="33"/>
  <c r="L152" i="33" s="1"/>
  <c r="W40" i="24"/>
  <c r="G40" i="24"/>
  <c r="L169" i="33"/>
  <c r="L183" i="33" s="1"/>
  <c r="Q367" i="33"/>
  <c r="Q41" i="24" s="1"/>
  <c r="L145" i="33"/>
  <c r="L159" i="33" s="1"/>
  <c r="L148" i="33"/>
  <c r="L162" i="33" s="1"/>
  <c r="U353" i="33"/>
  <c r="U380" i="33"/>
  <c r="X353" i="33"/>
  <c r="X380" i="33"/>
  <c r="W367" i="33"/>
  <c r="W41" i="24" s="1"/>
  <c r="W394" i="33"/>
  <c r="W381" i="33" s="1"/>
  <c r="W42" i="24" s="1"/>
  <c r="AB353" i="33"/>
  <c r="AB380" i="33"/>
  <c r="W34" i="24"/>
  <c r="T34" i="24"/>
  <c r="Y34" i="24"/>
  <c r="G34" i="24"/>
  <c r="Z34" i="24"/>
  <c r="S34" i="24"/>
  <c r="Y328" i="33"/>
  <c r="U324" i="33"/>
  <c r="Y324" i="33"/>
  <c r="Y326" i="33"/>
  <c r="S328" i="33"/>
  <c r="AC331" i="33"/>
  <c r="Y327" i="33"/>
  <c r="Q336" i="33"/>
  <c r="U329" i="33"/>
  <c r="X327" i="33"/>
  <c r="U332" i="33"/>
  <c r="U331" i="33"/>
  <c r="AC334" i="33"/>
  <c r="S324" i="33"/>
  <c r="Y331" i="33"/>
  <c r="Z327" i="33"/>
  <c r="X329" i="33"/>
  <c r="X326" i="33"/>
  <c r="AB328" i="33"/>
  <c r="X333" i="33"/>
  <c r="X324" i="33"/>
  <c r="U330" i="33"/>
  <c r="U335" i="33"/>
  <c r="AB331" i="33"/>
  <c r="AC326" i="33"/>
  <c r="T327" i="33"/>
  <c r="AC324" i="33"/>
  <c r="Z331" i="33"/>
  <c r="AB327" i="33"/>
  <c r="S331" i="33"/>
  <c r="U325" i="33"/>
  <c r="U333" i="33"/>
  <c r="Z328" i="33"/>
  <c r="Y333" i="33"/>
  <c r="AC332" i="33"/>
  <c r="S335" i="33"/>
  <c r="X325" i="33"/>
  <c r="AB333" i="33"/>
  <c r="AB334" i="33"/>
  <c r="AB335" i="33"/>
  <c r="Z324" i="33"/>
  <c r="S334" i="33"/>
  <c r="Z326" i="33"/>
  <c r="Y332" i="33"/>
  <c r="U328" i="33"/>
  <c r="X332" i="33"/>
  <c r="T324" i="33"/>
  <c r="T332" i="33"/>
  <c r="X330" i="33"/>
  <c r="U334" i="33"/>
  <c r="T334" i="33"/>
  <c r="S326" i="33"/>
  <c r="T328" i="33"/>
  <c r="S333" i="33"/>
  <c r="S332" i="33"/>
  <c r="S327" i="33"/>
  <c r="T335" i="33"/>
  <c r="AB325" i="33"/>
  <c r="X328" i="33"/>
  <c r="AB324" i="33"/>
  <c r="X334" i="33"/>
  <c r="T331" i="33"/>
  <c r="Z335" i="33"/>
  <c r="AB326" i="33"/>
  <c r="AC333" i="33"/>
  <c r="Y335" i="33"/>
  <c r="AB330" i="33"/>
  <c r="X335" i="33"/>
  <c r="Z334" i="33"/>
  <c r="T333" i="33"/>
  <c r="AB329" i="33"/>
  <c r="U327" i="33"/>
  <c r="Y334" i="33"/>
  <c r="T326" i="33"/>
  <c r="AC328" i="33"/>
  <c r="Z333" i="33"/>
  <c r="Z332" i="33"/>
  <c r="AC327" i="33"/>
  <c r="AC335" i="33"/>
  <c r="U326" i="33"/>
  <c r="AB332" i="33"/>
  <c r="X331" i="33"/>
  <c r="Y142" i="33"/>
  <c r="Y138" i="33"/>
  <c r="AC138" i="33"/>
  <c r="U295" i="33"/>
  <c r="U322" i="33"/>
  <c r="U336" i="33" s="1"/>
  <c r="U323" i="33" s="1"/>
  <c r="U36" i="24" s="1"/>
  <c r="AC309" i="33"/>
  <c r="AC35" i="24" s="1"/>
  <c r="AB295" i="33"/>
  <c r="AB322" i="33"/>
  <c r="AB336" i="33" s="1"/>
  <c r="AB323" i="33" s="1"/>
  <c r="AB36" i="24" s="1"/>
  <c r="Q343" i="33"/>
  <c r="Q315" i="33"/>
  <c r="Q339" i="33"/>
  <c r="Q311" i="33"/>
  <c r="Q347" i="33"/>
  <c r="Q319" i="33"/>
  <c r="Q348" i="33"/>
  <c r="Q320" i="33"/>
  <c r="Q345" i="33"/>
  <c r="Q317" i="33"/>
  <c r="S309" i="33"/>
  <c r="S35" i="24" s="1"/>
  <c r="T309" i="33"/>
  <c r="T35" i="24" s="1"/>
  <c r="Q342" i="33"/>
  <c r="Q314" i="33"/>
  <c r="Q341" i="33"/>
  <c r="Q313" i="33"/>
  <c r="AB150" i="33"/>
  <c r="AB137" i="33" s="1"/>
  <c r="AB19" i="24" s="1"/>
  <c r="Y150" i="33"/>
  <c r="Y137" i="33" s="1"/>
  <c r="Y19" i="24" s="1"/>
  <c r="Q340" i="33"/>
  <c r="Q312" i="33"/>
  <c r="Q349" i="33"/>
  <c r="Q321" i="33"/>
  <c r="AC150" i="33"/>
  <c r="AC137" i="33" s="1"/>
  <c r="AC19" i="24" s="1"/>
  <c r="Q309" i="33"/>
  <c r="Q35" i="24" s="1"/>
  <c r="Y309" i="33"/>
  <c r="Y35" i="24" s="1"/>
  <c r="Z309" i="33"/>
  <c r="Z35" i="24" s="1"/>
  <c r="Q346" i="33"/>
  <c r="Q318" i="33"/>
  <c r="Q344" i="33"/>
  <c r="Q316" i="33"/>
  <c r="W309" i="33"/>
  <c r="W35" i="24" s="1"/>
  <c r="X295" i="33"/>
  <c r="X322" i="33"/>
  <c r="X336" i="33" s="1"/>
  <c r="X323" i="33" s="1"/>
  <c r="X36" i="24" s="1"/>
  <c r="Q338" i="33"/>
  <c r="Q310" i="33"/>
  <c r="AB148" i="33"/>
  <c r="M271" i="33"/>
  <c r="M285" i="33" s="1"/>
  <c r="M243" i="33"/>
  <c r="M257" i="33" s="1"/>
  <c r="M277" i="33"/>
  <c r="M291" i="33" s="1"/>
  <c r="M249" i="33"/>
  <c r="M263" i="33" s="1"/>
  <c r="AB149" i="33"/>
  <c r="M273" i="33"/>
  <c r="M287" i="33" s="1"/>
  <c r="M245" i="33"/>
  <c r="M259" i="33" s="1"/>
  <c r="M276" i="33"/>
  <c r="M290" i="33" s="1"/>
  <c r="M248" i="33"/>
  <c r="M262" i="33" s="1"/>
  <c r="M270" i="33"/>
  <c r="M284" i="33" s="1"/>
  <c r="M242" i="33"/>
  <c r="M256" i="33" s="1"/>
  <c r="L223" i="33"/>
  <c r="L27" i="24" s="1"/>
  <c r="L250" i="33"/>
  <c r="S147" i="33"/>
  <c r="AB145" i="33"/>
  <c r="M267" i="33"/>
  <c r="M281" i="33" s="1"/>
  <c r="M239" i="33"/>
  <c r="M253" i="33" s="1"/>
  <c r="M275" i="33"/>
  <c r="M289" i="33" s="1"/>
  <c r="M247" i="33"/>
  <c r="M261" i="33" s="1"/>
  <c r="M274" i="33"/>
  <c r="M288" i="33" s="1"/>
  <c r="M246" i="33"/>
  <c r="M260" i="33" s="1"/>
  <c r="Y147" i="33"/>
  <c r="M269" i="33"/>
  <c r="M283" i="33" s="1"/>
  <c r="M241" i="33"/>
  <c r="M255" i="33" s="1"/>
  <c r="M266" i="33"/>
  <c r="M280" i="33" s="1"/>
  <c r="M238" i="33"/>
  <c r="M252" i="33" s="1"/>
  <c r="AB147" i="33"/>
  <c r="Y145" i="33"/>
  <c r="S146" i="33"/>
  <c r="M268" i="33"/>
  <c r="M282" i="33" s="1"/>
  <c r="M240" i="33"/>
  <c r="M254" i="33" s="1"/>
  <c r="M272" i="33"/>
  <c r="M286" i="33" s="1"/>
  <c r="M244" i="33"/>
  <c r="M258" i="33" s="1"/>
  <c r="AC145" i="33"/>
  <c r="AC147" i="33"/>
  <c r="S145" i="33"/>
  <c r="W55" i="33"/>
  <c r="W155" i="33"/>
  <c r="AC158" i="33"/>
  <c r="AB158" i="33"/>
  <c r="S158" i="33"/>
  <c r="Y158" i="33"/>
  <c r="L164" i="33"/>
  <c r="L151" i="33" s="1"/>
  <c r="L20" i="24" s="1"/>
  <c r="L137" i="33"/>
  <c r="L19" i="24" s="1"/>
  <c r="AC155" i="33"/>
  <c r="AB155" i="33"/>
  <c r="S155" i="33"/>
  <c r="Y155" i="33"/>
  <c r="AC153" i="33"/>
  <c r="AB153" i="33"/>
  <c r="S153" i="33"/>
  <c r="Y153" i="33"/>
  <c r="AC142" i="33"/>
  <c r="Y157" i="33"/>
  <c r="AC157" i="33"/>
  <c r="S157" i="33"/>
  <c r="AB157" i="33"/>
  <c r="AC152" i="33"/>
  <c r="Y152" i="33"/>
  <c r="AB152" i="33"/>
  <c r="S152" i="33"/>
  <c r="W63" i="33"/>
  <c r="W163" i="33"/>
  <c r="Y149" i="33"/>
  <c r="S142" i="33"/>
  <c r="W57" i="33"/>
  <c r="W157" i="33"/>
  <c r="AB156" i="33"/>
  <c r="S156" i="33"/>
  <c r="Y156" i="33"/>
  <c r="AC156" i="33"/>
  <c r="W59" i="33"/>
  <c r="W159" i="33"/>
  <c r="W61" i="33"/>
  <c r="W161" i="33"/>
  <c r="AB163" i="33"/>
  <c r="AC163" i="33"/>
  <c r="Y163" i="33"/>
  <c r="S163" i="33"/>
  <c r="W64" i="33"/>
  <c r="W51" i="33" s="1"/>
  <c r="W11" i="24" s="1"/>
  <c r="W164" i="33"/>
  <c r="W151" i="33" s="1"/>
  <c r="W20" i="24" s="1"/>
  <c r="W52" i="33"/>
  <c r="W152" i="33"/>
  <c r="Y144" i="33"/>
  <c r="AB146" i="33"/>
  <c r="AC148" i="33"/>
  <c r="AB144" i="33"/>
  <c r="AC149" i="33"/>
  <c r="W53" i="33"/>
  <c r="W153" i="33"/>
  <c r="AC146" i="33"/>
  <c r="R164" i="33"/>
  <c r="R151" i="33" s="1"/>
  <c r="R20" i="24" s="1"/>
  <c r="R137" i="33"/>
  <c r="R19" i="24" s="1"/>
  <c r="W56" i="33"/>
  <c r="W156" i="33"/>
  <c r="S144" i="33"/>
  <c r="S149" i="33"/>
  <c r="S148" i="33"/>
  <c r="AC144" i="33"/>
  <c r="Y154" i="33"/>
  <c r="AB154" i="33"/>
  <c r="S154" i="33"/>
  <c r="AC154" i="33"/>
  <c r="AB138" i="33"/>
  <c r="Y146" i="33"/>
  <c r="S159" i="33"/>
  <c r="Y159" i="33"/>
  <c r="AC159" i="33"/>
  <c r="AB159" i="33"/>
  <c r="AC161" i="33"/>
  <c r="Y161" i="33"/>
  <c r="AB161" i="33"/>
  <c r="S161" i="33"/>
  <c r="AB142" i="33"/>
  <c r="AC160" i="33"/>
  <c r="AB160" i="33"/>
  <c r="Y160" i="33"/>
  <c r="S160" i="33"/>
  <c r="W62" i="33"/>
  <c r="W162" i="33"/>
  <c r="Y162" i="33"/>
  <c r="AB162" i="33"/>
  <c r="S162" i="33"/>
  <c r="AC162" i="33"/>
  <c r="W54" i="33"/>
  <c r="W154" i="33"/>
  <c r="Y148" i="33"/>
  <c r="S138" i="33"/>
  <c r="M169" i="33"/>
  <c r="M183" i="33" s="1"/>
  <c r="M141" i="33"/>
  <c r="M155" i="33" s="1"/>
  <c r="M168" i="33"/>
  <c r="M182" i="33" s="1"/>
  <c r="M140" i="33"/>
  <c r="M154" i="33" s="1"/>
  <c r="M176" i="33"/>
  <c r="M190" i="33" s="1"/>
  <c r="M148" i="33"/>
  <c r="M162" i="33" s="1"/>
  <c r="Q184" i="33"/>
  <c r="Q142" i="33"/>
  <c r="Y140" i="33"/>
  <c r="S140" i="33"/>
  <c r="AB140" i="33"/>
  <c r="AC140" i="33"/>
  <c r="M172" i="33"/>
  <c r="M186" i="33" s="1"/>
  <c r="M144" i="33"/>
  <c r="M158" i="33" s="1"/>
  <c r="Q191" i="33"/>
  <c r="Q149" i="33"/>
  <c r="Q186" i="33"/>
  <c r="Q144" i="33"/>
  <c r="M173" i="33"/>
  <c r="M187" i="33" s="1"/>
  <c r="M145" i="33"/>
  <c r="M159" i="33" s="1"/>
  <c r="AC141" i="33"/>
  <c r="S141" i="33"/>
  <c r="Y141" i="33"/>
  <c r="AB141" i="33"/>
  <c r="Q181" i="33"/>
  <c r="Q139" i="33"/>
  <c r="Y143" i="33"/>
  <c r="AB143" i="33"/>
  <c r="AC143" i="33"/>
  <c r="S143" i="33"/>
  <c r="M167" i="33"/>
  <c r="M181" i="33" s="1"/>
  <c r="M139" i="33"/>
  <c r="M153" i="33" s="1"/>
  <c r="AC139" i="33"/>
  <c r="S139" i="33"/>
  <c r="AB139" i="33"/>
  <c r="Y139" i="33"/>
  <c r="M177" i="33"/>
  <c r="M191" i="33" s="1"/>
  <c r="M149" i="33"/>
  <c r="M163" i="33" s="1"/>
  <c r="Q183" i="33"/>
  <c r="Q141" i="33"/>
  <c r="M171" i="33"/>
  <c r="M185" i="33" s="1"/>
  <c r="M143" i="33"/>
  <c r="M157" i="33" s="1"/>
  <c r="M175" i="33"/>
  <c r="M189" i="33" s="1"/>
  <c r="M147" i="33"/>
  <c r="M161" i="33" s="1"/>
  <c r="M170" i="33"/>
  <c r="M184" i="33" s="1"/>
  <c r="M142" i="33"/>
  <c r="M156" i="33" s="1"/>
  <c r="Q190" i="33"/>
  <c r="Q148" i="33"/>
  <c r="M166" i="33"/>
  <c r="M180" i="33" s="1"/>
  <c r="M138" i="33"/>
  <c r="M152" i="33" s="1"/>
  <c r="M174" i="33"/>
  <c r="M188" i="33" s="1"/>
  <c r="M146" i="33"/>
  <c r="M160" i="33" s="1"/>
  <c r="Q180" i="33"/>
  <c r="Q138" i="33"/>
  <c r="G51" i="33"/>
  <c r="L422" i="33"/>
  <c r="L409" i="33" s="1"/>
  <c r="L44" i="24" s="1"/>
  <c r="AB117" i="33"/>
  <c r="G131" i="33"/>
  <c r="G145" i="33" s="1"/>
  <c r="G159" i="33" s="1"/>
  <c r="X117" i="33"/>
  <c r="U117" i="33"/>
  <c r="G187" i="33"/>
  <c r="G186" i="33"/>
  <c r="G130" i="33"/>
  <c r="G144" i="33" s="1"/>
  <c r="G158" i="33" s="1"/>
  <c r="U116" i="33"/>
  <c r="AB116" i="33"/>
  <c r="X116" i="33"/>
  <c r="AB342" i="33"/>
  <c r="X342" i="33"/>
  <c r="U342" i="33"/>
  <c r="G133" i="33"/>
  <c r="G147" i="33" s="1"/>
  <c r="G161" i="33" s="1"/>
  <c r="U119" i="33"/>
  <c r="X119" i="33"/>
  <c r="AB119" i="33"/>
  <c r="G189" i="33"/>
  <c r="Q405" i="33"/>
  <c r="Q419" i="33"/>
  <c r="X272" i="33"/>
  <c r="U286" i="33"/>
  <c r="AB272" i="33"/>
  <c r="Q420" i="33"/>
  <c r="Q406" i="33"/>
  <c r="Q219" i="33"/>
  <c r="Q275" i="33"/>
  <c r="Q233" i="33"/>
  <c r="Q261" i="33" s="1"/>
  <c r="Q271" i="33"/>
  <c r="Q229" i="33"/>
  <c r="Q257" i="33" s="1"/>
  <c r="Q215" i="33"/>
  <c r="U345" i="33"/>
  <c r="AB345" i="33"/>
  <c r="X345" i="33"/>
  <c r="AB169" i="33"/>
  <c r="X169" i="33"/>
  <c r="U183" i="33"/>
  <c r="U283" i="33"/>
  <c r="X269" i="33"/>
  <c r="AB269" i="33"/>
  <c r="X214" i="33"/>
  <c r="AB214" i="33"/>
  <c r="U214" i="33"/>
  <c r="G284" i="33"/>
  <c r="G228" i="33"/>
  <c r="G242" i="33" s="1"/>
  <c r="G256" i="33" s="1"/>
  <c r="X210" i="33"/>
  <c r="G224" i="33"/>
  <c r="G238" i="33" s="1"/>
  <c r="G252" i="33" s="1"/>
  <c r="U210" i="33"/>
  <c r="G280" i="33"/>
  <c r="AB210" i="33"/>
  <c r="U341" i="33"/>
  <c r="X341" i="33"/>
  <c r="AB341" i="33"/>
  <c r="U406" i="33"/>
  <c r="G420" i="33"/>
  <c r="X406" i="33"/>
  <c r="AB406" i="33"/>
  <c r="Q410" i="33"/>
  <c r="Q396" i="33"/>
  <c r="X346" i="33"/>
  <c r="U346" i="33"/>
  <c r="AB346" i="33"/>
  <c r="U290" i="33"/>
  <c r="AB276" i="33"/>
  <c r="X276" i="33"/>
  <c r="U113" i="33"/>
  <c r="AB113" i="33"/>
  <c r="G127" i="33"/>
  <c r="G141" i="33" s="1"/>
  <c r="G155" i="33" s="1"/>
  <c r="X113" i="33"/>
  <c r="G183" i="33"/>
  <c r="Q269" i="33"/>
  <c r="Q227" i="33"/>
  <c r="Q255" i="33" s="1"/>
  <c r="Q213" i="33"/>
  <c r="U282" i="33"/>
  <c r="AB268" i="33"/>
  <c r="X268" i="33"/>
  <c r="X177" i="33"/>
  <c r="AB177" i="33"/>
  <c r="U191" i="33"/>
  <c r="X402" i="33"/>
  <c r="AB402" i="33"/>
  <c r="U402" i="33"/>
  <c r="G416" i="33"/>
  <c r="Q266" i="33"/>
  <c r="Q224" i="33"/>
  <c r="Q252" i="33" s="1"/>
  <c r="Q210" i="33"/>
  <c r="U400" i="33"/>
  <c r="X400" i="33"/>
  <c r="G414" i="33"/>
  <c r="AB400" i="33"/>
  <c r="AB399" i="33"/>
  <c r="U399" i="33"/>
  <c r="X399" i="33"/>
  <c r="G413" i="33"/>
  <c r="AB266" i="33"/>
  <c r="X266" i="33"/>
  <c r="U280" i="33"/>
  <c r="AB349" i="33"/>
  <c r="U349" i="33"/>
  <c r="X349" i="33"/>
  <c r="G185" i="33"/>
  <c r="U115" i="33"/>
  <c r="AB115" i="33"/>
  <c r="G129" i="33"/>
  <c r="G143" i="33" s="1"/>
  <c r="G157" i="33" s="1"/>
  <c r="X115" i="33"/>
  <c r="Q398" i="33"/>
  <c r="Q412" i="33"/>
  <c r="AB167" i="33"/>
  <c r="X167" i="33"/>
  <c r="U181" i="33"/>
  <c r="Q411" i="33"/>
  <c r="Q397" i="33"/>
  <c r="U110" i="33"/>
  <c r="G124" i="33"/>
  <c r="G138" i="33" s="1"/>
  <c r="G152" i="33" s="1"/>
  <c r="G180" i="33"/>
  <c r="AB110" i="33"/>
  <c r="X110" i="33"/>
  <c r="U120" i="33"/>
  <c r="G190" i="33"/>
  <c r="G134" i="33"/>
  <c r="G148" i="33" s="1"/>
  <c r="G162" i="33" s="1"/>
  <c r="X120" i="33"/>
  <c r="AB120" i="33"/>
  <c r="X396" i="33"/>
  <c r="AB396" i="33"/>
  <c r="G410" i="33"/>
  <c r="U396" i="33"/>
  <c r="X171" i="33"/>
  <c r="U185" i="33"/>
  <c r="AB171" i="33"/>
  <c r="X175" i="33"/>
  <c r="U189" i="33"/>
  <c r="AB175" i="33"/>
  <c r="AB176" i="33"/>
  <c r="X176" i="33"/>
  <c r="U190" i="33"/>
  <c r="X277" i="33"/>
  <c r="U291" i="33"/>
  <c r="AB277" i="33"/>
  <c r="U340" i="33"/>
  <c r="X340" i="33"/>
  <c r="AB340" i="33"/>
  <c r="AB170" i="33"/>
  <c r="U184" i="33"/>
  <c r="X170" i="33"/>
  <c r="U344" i="33"/>
  <c r="AB344" i="33"/>
  <c r="X344" i="33"/>
  <c r="Q399" i="33"/>
  <c r="Q413" i="33"/>
  <c r="U281" i="33"/>
  <c r="X267" i="33"/>
  <c r="AB267" i="33"/>
  <c r="G132" i="33"/>
  <c r="G146" i="33" s="1"/>
  <c r="G160" i="33" s="1"/>
  <c r="AB118" i="33"/>
  <c r="X118" i="33"/>
  <c r="G188" i="33"/>
  <c r="U118" i="33"/>
  <c r="X218" i="33"/>
  <c r="G288" i="33"/>
  <c r="G232" i="33"/>
  <c r="G246" i="33" s="1"/>
  <c r="G260" i="33" s="1"/>
  <c r="AB218" i="33"/>
  <c r="U218" i="33"/>
  <c r="G412" i="33"/>
  <c r="X398" i="33"/>
  <c r="AB398" i="33"/>
  <c r="U398" i="33"/>
  <c r="X114" i="33"/>
  <c r="G184" i="33"/>
  <c r="AB114" i="33"/>
  <c r="U114" i="33"/>
  <c r="G128" i="33"/>
  <c r="G142" i="33" s="1"/>
  <c r="G156" i="33" s="1"/>
  <c r="U407" i="33"/>
  <c r="AB407" i="33"/>
  <c r="G421" i="33"/>
  <c r="X407" i="33"/>
  <c r="U289" i="33"/>
  <c r="AB275" i="33"/>
  <c r="X275" i="33"/>
  <c r="G285" i="33"/>
  <c r="AB215" i="33"/>
  <c r="U215" i="33"/>
  <c r="G229" i="33"/>
  <c r="G243" i="33" s="1"/>
  <c r="G257" i="33" s="1"/>
  <c r="X215" i="33"/>
  <c r="U403" i="33"/>
  <c r="G417" i="33"/>
  <c r="X403" i="33"/>
  <c r="AB403" i="33"/>
  <c r="U221" i="33"/>
  <c r="G235" i="33"/>
  <c r="G249" i="33" s="1"/>
  <c r="G263" i="33" s="1"/>
  <c r="AB221" i="33"/>
  <c r="G291" i="33"/>
  <c r="X221" i="33"/>
  <c r="Q232" i="33"/>
  <c r="Q260" i="33" s="1"/>
  <c r="Q218" i="33"/>
  <c r="Q274" i="33"/>
  <c r="AB172" i="33"/>
  <c r="U186" i="33"/>
  <c r="X172" i="33"/>
  <c r="X339" i="33"/>
  <c r="AB339" i="33"/>
  <c r="U339" i="33"/>
  <c r="U213" i="33"/>
  <c r="G227" i="33"/>
  <c r="G241" i="33" s="1"/>
  <c r="G255" i="33" s="1"/>
  <c r="G283" i="33"/>
  <c r="X213" i="33"/>
  <c r="AB213" i="33"/>
  <c r="Q268" i="33"/>
  <c r="Q226" i="33"/>
  <c r="Q254" i="33" s="1"/>
  <c r="Q212" i="33"/>
  <c r="Q421" i="33"/>
  <c r="Q407" i="33"/>
  <c r="U284" i="33"/>
  <c r="X270" i="33"/>
  <c r="AB270" i="33"/>
  <c r="X348" i="33"/>
  <c r="U348" i="33"/>
  <c r="AB348" i="33"/>
  <c r="Q211" i="33"/>
  <c r="Q225" i="33"/>
  <c r="Q253" i="33" s="1"/>
  <c r="Q267" i="33"/>
  <c r="Q402" i="33"/>
  <c r="Q416" i="33"/>
  <c r="X401" i="33"/>
  <c r="U401" i="33"/>
  <c r="G415" i="33"/>
  <c r="AB401" i="33"/>
  <c r="Q235" i="33"/>
  <c r="Q263" i="33" s="1"/>
  <c r="Q221" i="33"/>
  <c r="Q277" i="33"/>
  <c r="X174" i="33"/>
  <c r="AB174" i="33"/>
  <c r="U188" i="33"/>
  <c r="AB343" i="33"/>
  <c r="X343" i="33"/>
  <c r="U343" i="33"/>
  <c r="U404" i="33"/>
  <c r="X404" i="33"/>
  <c r="AB404" i="33"/>
  <c r="G418" i="33"/>
  <c r="U111" i="33"/>
  <c r="G181" i="33"/>
  <c r="G125" i="33"/>
  <c r="G139" i="33" s="1"/>
  <c r="G153" i="33" s="1"/>
  <c r="AB111" i="33"/>
  <c r="X111" i="33"/>
  <c r="Q270" i="33"/>
  <c r="Q214" i="33"/>
  <c r="Q228" i="33"/>
  <c r="Q256" i="33" s="1"/>
  <c r="G281" i="33"/>
  <c r="G225" i="33"/>
  <c r="G239" i="33" s="1"/>
  <c r="G253" i="33" s="1"/>
  <c r="AB211" i="33"/>
  <c r="U211" i="33"/>
  <c r="X211" i="33"/>
  <c r="G419" i="33"/>
  <c r="AB405" i="33"/>
  <c r="X405" i="33"/>
  <c r="U405" i="33"/>
  <c r="Q273" i="33"/>
  <c r="Q231" i="33"/>
  <c r="Q259" i="33" s="1"/>
  <c r="Q217" i="33"/>
  <c r="AB216" i="33"/>
  <c r="G230" i="33"/>
  <c r="G244" i="33" s="1"/>
  <c r="G258" i="33" s="1"/>
  <c r="G286" i="33"/>
  <c r="X216" i="33"/>
  <c r="U216" i="33"/>
  <c r="G289" i="33"/>
  <c r="X219" i="33"/>
  <c r="G233" i="33"/>
  <c r="G247" i="33" s="1"/>
  <c r="G261" i="33" s="1"/>
  <c r="AB219" i="33"/>
  <c r="U219" i="33"/>
  <c r="Q403" i="33"/>
  <c r="Q417" i="33"/>
  <c r="Q234" i="33"/>
  <c r="Q262" i="33" s="1"/>
  <c r="Q276" i="33"/>
  <c r="Q220" i="33"/>
  <c r="U288" i="33"/>
  <c r="X274" i="33"/>
  <c r="AB274" i="33"/>
  <c r="G234" i="33"/>
  <c r="G248" i="33" s="1"/>
  <c r="G262" i="33" s="1"/>
  <c r="X220" i="33"/>
  <c r="G290" i="33"/>
  <c r="U220" i="33"/>
  <c r="AB220" i="33"/>
  <c r="U182" i="33"/>
  <c r="AB168" i="33"/>
  <c r="X168" i="33"/>
  <c r="G191" i="33"/>
  <c r="AB121" i="33"/>
  <c r="X121" i="33"/>
  <c r="U121" i="33"/>
  <c r="G135" i="33"/>
  <c r="G149" i="33" s="1"/>
  <c r="G163" i="33" s="1"/>
  <c r="AB217" i="33"/>
  <c r="G231" i="33"/>
  <c r="G245" i="33" s="1"/>
  <c r="G259" i="33" s="1"/>
  <c r="X217" i="33"/>
  <c r="G287" i="33"/>
  <c r="U217" i="33"/>
  <c r="G182" i="33"/>
  <c r="U112" i="33"/>
  <c r="AB112" i="33"/>
  <c r="G126" i="33"/>
  <c r="G140" i="33" s="1"/>
  <c r="G154" i="33" s="1"/>
  <c r="X112" i="33"/>
  <c r="U187" i="33"/>
  <c r="AB173" i="33"/>
  <c r="X173" i="33"/>
  <c r="Q418" i="33"/>
  <c r="Q404" i="33"/>
  <c r="G226" i="33"/>
  <c r="G240" i="33" s="1"/>
  <c r="G254" i="33" s="1"/>
  <c r="X212" i="33"/>
  <c r="U212" i="33"/>
  <c r="AB212" i="33"/>
  <c r="G282" i="33"/>
  <c r="AB347" i="33"/>
  <c r="U347" i="33"/>
  <c r="X347" i="33"/>
  <c r="AB338" i="33"/>
  <c r="X338" i="33"/>
  <c r="U338" i="33"/>
  <c r="G411" i="33"/>
  <c r="U397" i="33"/>
  <c r="X397" i="33"/>
  <c r="AB397" i="33"/>
  <c r="AB166" i="33"/>
  <c r="X166" i="33"/>
  <c r="U180" i="33"/>
  <c r="Q401" i="33"/>
  <c r="Q415" i="33"/>
  <c r="X273" i="33"/>
  <c r="AB273" i="33"/>
  <c r="U287" i="33"/>
  <c r="Q230" i="33"/>
  <c r="Q258" i="33" s="1"/>
  <c r="Q272" i="33"/>
  <c r="Q216" i="33"/>
  <c r="U285" i="33"/>
  <c r="X271" i="33"/>
  <c r="AB271" i="33"/>
  <c r="Q414" i="33"/>
  <c r="Q400" i="33"/>
  <c r="M95" i="33"/>
  <c r="G292" i="33"/>
  <c r="U222" i="33"/>
  <c r="U209" i="33" s="1"/>
  <c r="U26" i="24" s="1"/>
  <c r="G236" i="33"/>
  <c r="G250" i="33" s="1"/>
  <c r="AB222" i="33"/>
  <c r="AB209" i="33" s="1"/>
  <c r="AB26" i="24" s="1"/>
  <c r="X222" i="33"/>
  <c r="X209" i="33" s="1"/>
  <c r="X26" i="24" s="1"/>
  <c r="G209" i="33"/>
  <c r="AB178" i="33"/>
  <c r="U192" i="33"/>
  <c r="X178" i="33"/>
  <c r="X278" i="33"/>
  <c r="X265" i="33" s="1"/>
  <c r="X30" i="24" s="1"/>
  <c r="U292" i="33"/>
  <c r="U279" i="33" s="1"/>
  <c r="U31" i="24" s="1"/>
  <c r="AB278" i="33"/>
  <c r="AB265" i="33" s="1"/>
  <c r="AB30" i="24" s="1"/>
  <c r="G265" i="33"/>
  <c r="G30" i="24" s="1"/>
  <c r="AB350" i="33"/>
  <c r="AB337" i="33" s="1"/>
  <c r="AB37" i="24" s="1"/>
  <c r="U350" i="33"/>
  <c r="U337" i="33" s="1"/>
  <c r="U37" i="24" s="1"/>
  <c r="X350" i="33"/>
  <c r="X337" i="33" s="1"/>
  <c r="X37" i="24" s="1"/>
  <c r="G337" i="33"/>
  <c r="G37" i="24" s="1"/>
  <c r="X408" i="33"/>
  <c r="X395" i="33" s="1"/>
  <c r="X43" i="24" s="1"/>
  <c r="U408" i="33"/>
  <c r="U395" i="33" s="1"/>
  <c r="U43" i="24" s="1"/>
  <c r="AB408" i="33"/>
  <c r="AB395" i="33" s="1"/>
  <c r="AB43" i="24" s="1"/>
  <c r="G422" i="33"/>
  <c r="G395" i="33"/>
  <c r="G43" i="24" s="1"/>
  <c r="Q295" i="33"/>
  <c r="Q350" i="33"/>
  <c r="Q337" i="33" s="1"/>
  <c r="Q37" i="24" s="1"/>
  <c r="Q222" i="33"/>
  <c r="Q250" i="33" s="1"/>
  <c r="Q237" i="33" s="1"/>
  <c r="Q28" i="24" s="1"/>
  <c r="Q236" i="33"/>
  <c r="Q278" i="33"/>
  <c r="Q265" i="33" s="1"/>
  <c r="Q30" i="24" s="1"/>
  <c r="Q195" i="33"/>
  <c r="Q25" i="24" s="1"/>
  <c r="G192" i="33"/>
  <c r="G136" i="33"/>
  <c r="G150" i="33" s="1"/>
  <c r="M222" i="33"/>
  <c r="M195" i="33"/>
  <c r="Q422" i="33"/>
  <c r="Q409" i="33" s="1"/>
  <c r="Q44" i="24" s="1"/>
  <c r="Q408" i="33"/>
  <c r="Q395" i="33" s="1"/>
  <c r="Q43" i="24" s="1"/>
  <c r="Q353" i="33"/>
  <c r="L43" i="24"/>
  <c r="S342" i="33"/>
  <c r="Z342" i="33"/>
  <c r="T342" i="33"/>
  <c r="AC342" i="33"/>
  <c r="Y342" i="33"/>
  <c r="Z345" i="33"/>
  <c r="Y345" i="33"/>
  <c r="AC345" i="33"/>
  <c r="T345" i="33"/>
  <c r="S345" i="33"/>
  <c r="S341" i="33"/>
  <c r="Y341" i="33"/>
  <c r="AC341" i="33"/>
  <c r="T341" i="33"/>
  <c r="Z341" i="33"/>
  <c r="S349" i="33"/>
  <c r="Y349" i="33"/>
  <c r="Z349" i="33"/>
  <c r="AC349" i="33"/>
  <c r="T349" i="33"/>
  <c r="S340" i="33"/>
  <c r="Z340" i="33"/>
  <c r="AC340" i="33"/>
  <c r="T340" i="33"/>
  <c r="Y340" i="33"/>
  <c r="T346" i="33"/>
  <c r="Y346" i="33"/>
  <c r="AC346" i="33"/>
  <c r="Z346" i="33"/>
  <c r="S346" i="33"/>
  <c r="T348" i="33"/>
  <c r="Z348" i="33"/>
  <c r="AC348" i="33"/>
  <c r="S348" i="33"/>
  <c r="Y348" i="33"/>
  <c r="Z338" i="33"/>
  <c r="T338" i="33"/>
  <c r="AC338" i="33"/>
  <c r="S338" i="33"/>
  <c r="Y338" i="33"/>
  <c r="T347" i="33"/>
  <c r="S347" i="33"/>
  <c r="Y347" i="33"/>
  <c r="AC347" i="33"/>
  <c r="Z347" i="33"/>
  <c r="L278" i="33"/>
  <c r="L265" i="33" s="1"/>
  <c r="L30" i="24" s="1"/>
  <c r="L178" i="33"/>
  <c r="L123" i="33"/>
  <c r="L18" i="24" s="1"/>
  <c r="AB40" i="24" l="1"/>
  <c r="AE51" i="33"/>
  <c r="AF51" i="33" s="1"/>
  <c r="AG51" i="33" s="1"/>
  <c r="G11" i="24"/>
  <c r="AE11" i="24" s="1"/>
  <c r="X40" i="24"/>
  <c r="U40" i="24"/>
  <c r="U394" i="33"/>
  <c r="U381" i="33" s="1"/>
  <c r="U42" i="24" s="1"/>
  <c r="U367" i="33"/>
  <c r="U41" i="24" s="1"/>
  <c r="AB394" i="33"/>
  <c r="AB381" i="33" s="1"/>
  <c r="AB42" i="24" s="1"/>
  <c r="AB367" i="33"/>
  <c r="AB41" i="24" s="1"/>
  <c r="X394" i="33"/>
  <c r="X381" i="33" s="1"/>
  <c r="X42" i="24" s="1"/>
  <c r="X367" i="33"/>
  <c r="X41" i="24" s="1"/>
  <c r="X34" i="24"/>
  <c r="Q34" i="24"/>
  <c r="U34" i="24"/>
  <c r="AB34" i="24"/>
  <c r="Q323" i="33"/>
  <c r="Q330" i="33"/>
  <c r="Q327" i="33"/>
  <c r="Q331" i="33"/>
  <c r="Q329" i="33"/>
  <c r="Q335" i="33"/>
  <c r="Q334" i="33"/>
  <c r="Q326" i="33"/>
  <c r="Q333" i="33"/>
  <c r="Q332" i="33"/>
  <c r="Q328" i="33"/>
  <c r="Q324" i="33"/>
  <c r="Q325" i="33"/>
  <c r="AB309" i="33"/>
  <c r="AB35" i="24" s="1"/>
  <c r="X309" i="33"/>
  <c r="X35" i="24" s="1"/>
  <c r="U309" i="33"/>
  <c r="U35" i="24" s="1"/>
  <c r="N252" i="33"/>
  <c r="U252" i="33"/>
  <c r="X252" i="33"/>
  <c r="X262" i="33"/>
  <c r="N262" i="33"/>
  <c r="U262" i="33"/>
  <c r="X257" i="33"/>
  <c r="N257" i="33"/>
  <c r="U257" i="33"/>
  <c r="U258" i="33"/>
  <c r="N258" i="33"/>
  <c r="X258" i="33"/>
  <c r="U263" i="33"/>
  <c r="X263" i="33"/>
  <c r="N263" i="33"/>
  <c r="X256" i="33"/>
  <c r="N256" i="33"/>
  <c r="U256" i="33"/>
  <c r="U259" i="33"/>
  <c r="X259" i="33"/>
  <c r="N259" i="33"/>
  <c r="G264" i="33"/>
  <c r="G251" i="33" s="1"/>
  <c r="G29" i="24" s="1"/>
  <c r="G237" i="33"/>
  <c r="G28" i="24" s="1"/>
  <c r="U255" i="33"/>
  <c r="N255" i="33"/>
  <c r="X255" i="33"/>
  <c r="N254" i="33"/>
  <c r="U254" i="33"/>
  <c r="X254" i="33"/>
  <c r="X253" i="33"/>
  <c r="N253" i="33"/>
  <c r="U253" i="33"/>
  <c r="L237" i="33"/>
  <c r="L28" i="24" s="1"/>
  <c r="L264" i="33"/>
  <c r="L251" i="33" s="1"/>
  <c r="L29" i="24" s="1"/>
  <c r="Q223" i="33"/>
  <c r="Q27" i="24" s="1"/>
  <c r="Q264" i="33"/>
  <c r="Q251" i="33" s="1"/>
  <c r="Q29" i="24" s="1"/>
  <c r="X261" i="33"/>
  <c r="N261" i="33"/>
  <c r="U261" i="33"/>
  <c r="N260" i="33"/>
  <c r="U260" i="33"/>
  <c r="X260" i="33"/>
  <c r="X238" i="33"/>
  <c r="N238" i="33"/>
  <c r="U238" i="33"/>
  <c r="Q285" i="33"/>
  <c r="Q243" i="33"/>
  <c r="X248" i="33"/>
  <c r="N248" i="33"/>
  <c r="U248" i="33"/>
  <c r="Q284" i="33"/>
  <c r="Q242" i="33"/>
  <c r="N243" i="33"/>
  <c r="X243" i="33"/>
  <c r="U243" i="33"/>
  <c r="Q280" i="33"/>
  <c r="Q238" i="33"/>
  <c r="U244" i="33"/>
  <c r="X244" i="33"/>
  <c r="N244" i="33"/>
  <c r="N249" i="33"/>
  <c r="U249" i="33"/>
  <c r="X249" i="33"/>
  <c r="N242" i="33"/>
  <c r="X242" i="33"/>
  <c r="U242" i="33"/>
  <c r="Q286" i="33"/>
  <c r="Q244" i="33"/>
  <c r="Q287" i="33"/>
  <c r="Q245" i="33"/>
  <c r="X240" i="33"/>
  <c r="U240" i="33"/>
  <c r="N240" i="33"/>
  <c r="Q290" i="33"/>
  <c r="Q248" i="33"/>
  <c r="Q281" i="33"/>
  <c r="Q239" i="33"/>
  <c r="Q288" i="33"/>
  <c r="Q246" i="33"/>
  <c r="Q289" i="33"/>
  <c r="Q247" i="33"/>
  <c r="U250" i="33"/>
  <c r="U237" i="33" s="1"/>
  <c r="U28" i="24" s="1"/>
  <c r="X250" i="33"/>
  <c r="X237" i="33" s="1"/>
  <c r="X28" i="24" s="1"/>
  <c r="N250" i="33"/>
  <c r="N237" i="33" s="1"/>
  <c r="N28" i="24" s="1"/>
  <c r="U247" i="33"/>
  <c r="X247" i="33"/>
  <c r="N247" i="33"/>
  <c r="M16" i="24"/>
  <c r="U239" i="33"/>
  <c r="X239" i="33"/>
  <c r="N239" i="33"/>
  <c r="Q282" i="33"/>
  <c r="Q240" i="33"/>
  <c r="Q283" i="33"/>
  <c r="Q241" i="33"/>
  <c r="X245" i="33"/>
  <c r="U245" i="33"/>
  <c r="N245" i="33"/>
  <c r="Q291" i="33"/>
  <c r="Q249" i="33"/>
  <c r="N241" i="33"/>
  <c r="U241" i="33"/>
  <c r="X241" i="33"/>
  <c r="X246" i="33"/>
  <c r="U246" i="33"/>
  <c r="N246" i="33"/>
  <c r="AC164" i="33"/>
  <c r="AC151" i="33" s="1"/>
  <c r="AC20" i="24" s="1"/>
  <c r="S164" i="33"/>
  <c r="S151" i="33" s="1"/>
  <c r="S20" i="24" s="1"/>
  <c r="AB164" i="33"/>
  <c r="AB151" i="33" s="1"/>
  <c r="AB20" i="24" s="1"/>
  <c r="Y164" i="33"/>
  <c r="Y151" i="33" s="1"/>
  <c r="Y20" i="24" s="1"/>
  <c r="N163" i="33"/>
  <c r="U163" i="33"/>
  <c r="X163" i="33"/>
  <c r="U153" i="33"/>
  <c r="N153" i="33"/>
  <c r="X153" i="33"/>
  <c r="X152" i="33"/>
  <c r="N152" i="33"/>
  <c r="U152" i="33"/>
  <c r="X159" i="33"/>
  <c r="U159" i="33"/>
  <c r="N159" i="33"/>
  <c r="X160" i="33"/>
  <c r="N160" i="33"/>
  <c r="U160" i="33"/>
  <c r="N162" i="33"/>
  <c r="X162" i="33"/>
  <c r="U162" i="33"/>
  <c r="U161" i="33"/>
  <c r="N161" i="33"/>
  <c r="X161" i="33"/>
  <c r="X154" i="33"/>
  <c r="N154" i="33"/>
  <c r="U154" i="33"/>
  <c r="X156" i="33"/>
  <c r="U156" i="33"/>
  <c r="N156" i="33"/>
  <c r="N157" i="33"/>
  <c r="U157" i="33"/>
  <c r="X157" i="33"/>
  <c r="G164" i="33"/>
  <c r="G151" i="33" s="1"/>
  <c r="G20" i="24" s="1"/>
  <c r="G137" i="33"/>
  <c r="G19" i="24" s="1"/>
  <c r="U158" i="33"/>
  <c r="X158" i="33"/>
  <c r="N158" i="33"/>
  <c r="N155" i="33"/>
  <c r="U155" i="33"/>
  <c r="X155" i="33"/>
  <c r="U147" i="33"/>
  <c r="N147" i="33"/>
  <c r="X147" i="33"/>
  <c r="U144" i="33"/>
  <c r="N144" i="33"/>
  <c r="X144" i="33"/>
  <c r="N141" i="33"/>
  <c r="U141" i="33"/>
  <c r="X141" i="33"/>
  <c r="X140" i="33"/>
  <c r="N140" i="33"/>
  <c r="U140" i="33"/>
  <c r="N149" i="33"/>
  <c r="X149" i="33"/>
  <c r="U149" i="33"/>
  <c r="U139" i="33"/>
  <c r="X139" i="33"/>
  <c r="N139" i="33"/>
  <c r="X138" i="33"/>
  <c r="N138" i="33"/>
  <c r="U138" i="33"/>
  <c r="U145" i="33"/>
  <c r="X145" i="33"/>
  <c r="N145" i="33"/>
  <c r="U150" i="33"/>
  <c r="U137" i="33" s="1"/>
  <c r="U19" i="24" s="1"/>
  <c r="N150" i="33"/>
  <c r="N137" i="33" s="1"/>
  <c r="N19" i="24" s="1"/>
  <c r="X150" i="33"/>
  <c r="X137" i="33" s="1"/>
  <c r="X19" i="24" s="1"/>
  <c r="X146" i="33"/>
  <c r="N146" i="33"/>
  <c r="U146" i="33"/>
  <c r="U142" i="33"/>
  <c r="N142" i="33"/>
  <c r="X142" i="33"/>
  <c r="X148" i="33"/>
  <c r="U148" i="33"/>
  <c r="N148" i="33"/>
  <c r="N143" i="33"/>
  <c r="X143" i="33"/>
  <c r="U143" i="33"/>
  <c r="AB182" i="33"/>
  <c r="X182" i="33"/>
  <c r="X290" i="33"/>
  <c r="AB290" i="33"/>
  <c r="AB281" i="33"/>
  <c r="X281" i="33"/>
  <c r="X184" i="33"/>
  <c r="AB184" i="33"/>
  <c r="U129" i="33"/>
  <c r="U171" i="33"/>
  <c r="N129" i="33"/>
  <c r="X129" i="33"/>
  <c r="X418" i="33"/>
  <c r="U418" i="33"/>
  <c r="X291" i="33"/>
  <c r="AB291" i="33"/>
  <c r="X288" i="33"/>
  <c r="AB288" i="33"/>
  <c r="AB190" i="33"/>
  <c r="X190" i="33"/>
  <c r="X420" i="33"/>
  <c r="U420" i="33"/>
  <c r="U266" i="33"/>
  <c r="N224" i="33"/>
  <c r="U224" i="33"/>
  <c r="X224" i="33"/>
  <c r="X130" i="33"/>
  <c r="N130" i="33"/>
  <c r="U130" i="33"/>
  <c r="U172" i="33"/>
  <c r="AB282" i="33"/>
  <c r="X282" i="33"/>
  <c r="X287" i="33"/>
  <c r="AB287" i="33"/>
  <c r="AB191" i="33"/>
  <c r="X191" i="33"/>
  <c r="U234" i="33"/>
  <c r="N234" i="33"/>
  <c r="X234" i="33"/>
  <c r="U276" i="33"/>
  <c r="AB286" i="33"/>
  <c r="X286" i="33"/>
  <c r="U271" i="33"/>
  <c r="N229" i="33"/>
  <c r="X229" i="33"/>
  <c r="U229" i="33"/>
  <c r="X421" i="33"/>
  <c r="U421" i="33"/>
  <c r="U413" i="33"/>
  <c r="X413" i="33"/>
  <c r="X183" i="33"/>
  <c r="AB183" i="33"/>
  <c r="N133" i="33"/>
  <c r="U175" i="33"/>
  <c r="U133" i="33"/>
  <c r="X133" i="33"/>
  <c r="AB186" i="33"/>
  <c r="X186" i="33"/>
  <c r="U232" i="33"/>
  <c r="X232" i="33"/>
  <c r="N232" i="33"/>
  <c r="U274" i="33"/>
  <c r="U134" i="33"/>
  <c r="U176" i="33"/>
  <c r="N134" i="33"/>
  <c r="X134" i="33"/>
  <c r="AE337" i="33"/>
  <c r="AF337" i="33" s="1"/>
  <c r="X411" i="33"/>
  <c r="U411" i="33"/>
  <c r="X230" i="33"/>
  <c r="N230" i="33"/>
  <c r="U272" i="33"/>
  <c r="U230" i="33"/>
  <c r="X419" i="33"/>
  <c r="U419" i="33"/>
  <c r="U277" i="33"/>
  <c r="X235" i="33"/>
  <c r="U235" i="33"/>
  <c r="N235" i="33"/>
  <c r="X410" i="33"/>
  <c r="U410" i="33"/>
  <c r="AB185" i="33"/>
  <c r="X185" i="33"/>
  <c r="N228" i="33"/>
  <c r="X228" i="33"/>
  <c r="U228" i="33"/>
  <c r="U270" i="33"/>
  <c r="AB187" i="33"/>
  <c r="X187" i="33"/>
  <c r="X231" i="33"/>
  <c r="U231" i="33"/>
  <c r="U273" i="33"/>
  <c r="N231" i="33"/>
  <c r="X283" i="33"/>
  <c r="AB283" i="33"/>
  <c r="AB188" i="33"/>
  <c r="X188" i="33"/>
  <c r="U127" i="33"/>
  <c r="U169" i="33"/>
  <c r="X127" i="33"/>
  <c r="N127" i="33"/>
  <c r="X284" i="33"/>
  <c r="AB284" i="33"/>
  <c r="X126" i="33"/>
  <c r="U126" i="33"/>
  <c r="U168" i="33"/>
  <c r="N126" i="33"/>
  <c r="U233" i="33"/>
  <c r="U275" i="33"/>
  <c r="X233" i="33"/>
  <c r="N233" i="33"/>
  <c r="N227" i="33"/>
  <c r="U269" i="33"/>
  <c r="U227" i="33"/>
  <c r="X227" i="33"/>
  <c r="X285" i="33"/>
  <c r="AB285" i="33"/>
  <c r="X128" i="33"/>
  <c r="U128" i="33"/>
  <c r="U170" i="33"/>
  <c r="N128" i="33"/>
  <c r="U412" i="33"/>
  <c r="X412" i="33"/>
  <c r="AB180" i="33"/>
  <c r="X180" i="33"/>
  <c r="X416" i="33"/>
  <c r="U416" i="33"/>
  <c r="U268" i="33"/>
  <c r="U226" i="33"/>
  <c r="N226" i="33"/>
  <c r="X226" i="33"/>
  <c r="X135" i="33"/>
  <c r="N135" i="33"/>
  <c r="U177" i="33"/>
  <c r="U135" i="33"/>
  <c r="U125" i="33"/>
  <c r="N125" i="33"/>
  <c r="X125" i="33"/>
  <c r="U167" i="33"/>
  <c r="U124" i="33"/>
  <c r="U166" i="33"/>
  <c r="X124" i="33"/>
  <c r="N124" i="33"/>
  <c r="X189" i="33"/>
  <c r="AB189" i="33"/>
  <c r="X131" i="33"/>
  <c r="N131" i="33"/>
  <c r="U173" i="33"/>
  <c r="U131" i="33"/>
  <c r="AE37" i="24"/>
  <c r="X289" i="33"/>
  <c r="AB289" i="33"/>
  <c r="U267" i="33"/>
  <c r="N225" i="33"/>
  <c r="X225" i="33"/>
  <c r="U225" i="33"/>
  <c r="X181" i="33"/>
  <c r="AB181" i="33"/>
  <c r="U415" i="33"/>
  <c r="X415" i="33"/>
  <c r="U417" i="33"/>
  <c r="X417" i="33"/>
  <c r="N132" i="33"/>
  <c r="U132" i="33"/>
  <c r="U174" i="33"/>
  <c r="X132" i="33"/>
  <c r="U414" i="33"/>
  <c r="X414" i="33"/>
  <c r="X280" i="33"/>
  <c r="AB280" i="33"/>
  <c r="AE43" i="24"/>
  <c r="AE395" i="33"/>
  <c r="AF395" i="33" s="1"/>
  <c r="X192" i="33"/>
  <c r="AB192" i="33"/>
  <c r="AB292" i="33"/>
  <c r="AB279" i="33" s="1"/>
  <c r="AB31" i="24" s="1"/>
  <c r="X292" i="33"/>
  <c r="X279" i="33" s="1"/>
  <c r="X31" i="24" s="1"/>
  <c r="G279" i="33"/>
  <c r="G31" i="24" s="1"/>
  <c r="AE295" i="33"/>
  <c r="AF295" i="33" s="1"/>
  <c r="M236" i="33"/>
  <c r="M250" i="33" s="1"/>
  <c r="M209" i="33"/>
  <c r="M26" i="24" s="1"/>
  <c r="G26" i="24"/>
  <c r="U236" i="33"/>
  <c r="U223" i="33" s="1"/>
  <c r="U27" i="24" s="1"/>
  <c r="U278" i="33"/>
  <c r="U265" i="33" s="1"/>
  <c r="U30" i="24" s="1"/>
  <c r="X236" i="33"/>
  <c r="X223" i="33" s="1"/>
  <c r="X27" i="24" s="1"/>
  <c r="N236" i="33"/>
  <c r="N223" i="33" s="1"/>
  <c r="N27" i="24" s="1"/>
  <c r="G223" i="33"/>
  <c r="Q40" i="24"/>
  <c r="AE353" i="33"/>
  <c r="AF353" i="33" s="1"/>
  <c r="U422" i="33"/>
  <c r="U409" i="33" s="1"/>
  <c r="U44" i="24" s="1"/>
  <c r="X422" i="33"/>
  <c r="X409" i="33" s="1"/>
  <c r="X44" i="24" s="1"/>
  <c r="G409" i="33"/>
  <c r="M25" i="24"/>
  <c r="AE195" i="33"/>
  <c r="AF195" i="33" s="1"/>
  <c r="M136" i="33"/>
  <c r="M150" i="33" s="1"/>
  <c r="M109" i="33"/>
  <c r="M17" i="24" s="1"/>
  <c r="N136" i="33"/>
  <c r="X136" i="33"/>
  <c r="U136" i="33"/>
  <c r="U178" i="33"/>
  <c r="Q292" i="33"/>
  <c r="Q279" i="33" s="1"/>
  <c r="Q31" i="24" s="1"/>
  <c r="Q209" i="33"/>
  <c r="Q26" i="24" s="1"/>
  <c r="L292" i="33"/>
  <c r="L192" i="33"/>
  <c r="L179" i="33" s="1"/>
  <c r="L22" i="24" s="1"/>
  <c r="L165" i="33"/>
  <c r="L21" i="24" s="1"/>
  <c r="AJ51" i="33" l="1"/>
  <c r="AI11" i="24" s="1"/>
  <c r="AE42" i="24"/>
  <c r="AE35" i="24"/>
  <c r="AI51" i="33"/>
  <c r="AH11" i="24" s="1"/>
  <c r="AF11" i="24"/>
  <c r="AE41" i="24"/>
  <c r="AE323" i="33"/>
  <c r="AF323" i="33" s="1"/>
  <c r="AJ323" i="33" s="1"/>
  <c r="AI36" i="24" s="1"/>
  <c r="Q36" i="24"/>
  <c r="AE36" i="24" s="1"/>
  <c r="AH51" i="33"/>
  <c r="AG11" i="24" s="1"/>
  <c r="AE25" i="24"/>
  <c r="AJ395" i="33"/>
  <c r="AI43" i="24" s="1"/>
  <c r="AI395" i="33"/>
  <c r="AH43" i="24" s="1"/>
  <c r="AH395" i="33"/>
  <c r="AG43" i="24" s="1"/>
  <c r="AG395" i="33"/>
  <c r="AF43" i="24" s="1"/>
  <c r="AE40" i="24"/>
  <c r="AE367" i="33"/>
  <c r="AF367" i="33" s="1"/>
  <c r="AJ367" i="33" s="1"/>
  <c r="AI41" i="24" s="1"/>
  <c r="AE381" i="33"/>
  <c r="AF381" i="33" s="1"/>
  <c r="AE34" i="24"/>
  <c r="AI337" i="33"/>
  <c r="AH37" i="24" s="1"/>
  <c r="AH337" i="33"/>
  <c r="AG37" i="24" s="1"/>
  <c r="AG337" i="33"/>
  <c r="AF37" i="24" s="1"/>
  <c r="AJ337" i="33"/>
  <c r="AI37" i="24" s="1"/>
  <c r="AE309" i="33"/>
  <c r="AF309" i="33" s="1"/>
  <c r="AG309" i="33" s="1"/>
  <c r="AF35" i="24" s="1"/>
  <c r="AJ295" i="33"/>
  <c r="AI34" i="24" s="1"/>
  <c r="AI295" i="33"/>
  <c r="AH34" i="24" s="1"/>
  <c r="AH295" i="33"/>
  <c r="AG34" i="24" s="1"/>
  <c r="AG295" i="33"/>
  <c r="AF34" i="24" s="1"/>
  <c r="N264" i="33"/>
  <c r="N251" i="33" s="1"/>
  <c r="N29" i="24" s="1"/>
  <c r="X264" i="33"/>
  <c r="X251" i="33" s="1"/>
  <c r="X29" i="24" s="1"/>
  <c r="U264" i="33"/>
  <c r="U251" i="33" s="1"/>
  <c r="U29" i="24" s="1"/>
  <c r="AI195" i="33"/>
  <c r="AH25" i="24" s="1"/>
  <c r="AG195" i="33"/>
  <c r="AH195" i="33"/>
  <c r="AG25" i="24" s="1"/>
  <c r="AJ195" i="33"/>
  <c r="AI25" i="24" s="1"/>
  <c r="M237" i="33"/>
  <c r="M264" i="33"/>
  <c r="M251" i="33" s="1"/>
  <c r="M29" i="24" s="1"/>
  <c r="M137" i="33"/>
  <c r="M164" i="33"/>
  <c r="M151" i="33" s="1"/>
  <c r="M20" i="24" s="1"/>
  <c r="U164" i="33"/>
  <c r="U151" i="33" s="1"/>
  <c r="U20" i="24" s="1"/>
  <c r="N164" i="33"/>
  <c r="N151" i="33" s="1"/>
  <c r="N20" i="24" s="1"/>
  <c r="X164" i="33"/>
  <c r="X151" i="33" s="1"/>
  <c r="X20" i="24" s="1"/>
  <c r="AE65" i="33"/>
  <c r="AF65" i="33" s="1"/>
  <c r="G27" i="24"/>
  <c r="M278" i="33"/>
  <c r="M223" i="33"/>
  <c r="M27" i="24" s="1"/>
  <c r="G44" i="24"/>
  <c r="AE44" i="24" s="1"/>
  <c r="AE409" i="33"/>
  <c r="AE209" i="33"/>
  <c r="AF209" i="33" s="1"/>
  <c r="AH353" i="33"/>
  <c r="AG40" i="24" s="1"/>
  <c r="AG353" i="33"/>
  <c r="AI353" i="33"/>
  <c r="AH40" i="24" s="1"/>
  <c r="AJ353" i="33"/>
  <c r="AI40" i="24" s="1"/>
  <c r="AE26" i="24"/>
  <c r="M178" i="33"/>
  <c r="M123" i="33"/>
  <c r="M18" i="24" s="1"/>
  <c r="L279" i="33"/>
  <c r="L31" i="24" s="1"/>
  <c r="AG323" i="33" l="1"/>
  <c r="AF36" i="24" s="1"/>
  <c r="AE33" i="24"/>
  <c r="AE20" i="24"/>
  <c r="AE29" i="24"/>
  <c r="AE137" i="33"/>
  <c r="AF137" i="33" s="1"/>
  <c r="AI137" i="33" s="1"/>
  <c r="AH19" i="24" s="1"/>
  <c r="M19" i="24"/>
  <c r="AE19" i="24" s="1"/>
  <c r="AE237" i="33"/>
  <c r="AF237" i="33" s="1"/>
  <c r="AH237" i="33" s="1"/>
  <c r="AG28" i="24" s="1"/>
  <c r="M28" i="24"/>
  <c r="AE28" i="24" s="1"/>
  <c r="AH323" i="33"/>
  <c r="AG36" i="24" s="1"/>
  <c r="AI323" i="33"/>
  <c r="AH36" i="24" s="1"/>
  <c r="AF25" i="24"/>
  <c r="AE39" i="24"/>
  <c r="AF40" i="24"/>
  <c r="AJ381" i="33"/>
  <c r="AI42" i="24" s="1"/>
  <c r="AG381" i="33"/>
  <c r="AF42" i="24" s="1"/>
  <c r="AI381" i="33"/>
  <c r="AH42" i="24" s="1"/>
  <c r="AH381" i="33"/>
  <c r="AG42" i="24" s="1"/>
  <c r="AH367" i="33"/>
  <c r="AG41" i="24" s="1"/>
  <c r="AG367" i="33"/>
  <c r="AF41" i="24" s="1"/>
  <c r="AI367" i="33"/>
  <c r="AH41" i="24" s="1"/>
  <c r="AE294" i="33"/>
  <c r="AH309" i="33"/>
  <c r="AG35" i="24" s="1"/>
  <c r="AI309" i="33"/>
  <c r="AH35" i="24" s="1"/>
  <c r="AJ309" i="33"/>
  <c r="AI35" i="24" s="1"/>
  <c r="AI209" i="33"/>
  <c r="AH26" i="24" s="1"/>
  <c r="AJ209" i="33"/>
  <c r="AI26" i="24" s="1"/>
  <c r="AH209" i="33"/>
  <c r="AG26" i="24" s="1"/>
  <c r="AG209" i="33"/>
  <c r="AE251" i="33"/>
  <c r="AF251" i="33" s="1"/>
  <c r="AE151" i="33"/>
  <c r="AF151" i="33" s="1"/>
  <c r="AI65" i="33"/>
  <c r="AH12" i="24" s="1"/>
  <c r="AH65" i="33"/>
  <c r="AG12" i="24" s="1"/>
  <c r="AJ65" i="33"/>
  <c r="AI12" i="24" s="1"/>
  <c r="AG65" i="33"/>
  <c r="AE27" i="24"/>
  <c r="AE223" i="33"/>
  <c r="AF223" i="33" s="1"/>
  <c r="AH223" i="33" s="1"/>
  <c r="AG27" i="24" s="1"/>
  <c r="M292" i="33"/>
  <c r="M279" i="33" s="1"/>
  <c r="M31" i="24" s="1"/>
  <c r="AE31" i="24" s="1"/>
  <c r="M265" i="33"/>
  <c r="M192" i="33"/>
  <c r="M179" i="33" s="1"/>
  <c r="M22" i="24" s="1"/>
  <c r="M165" i="33"/>
  <c r="M21" i="24" s="1"/>
  <c r="AE352" i="33"/>
  <c r="AF409" i="33"/>
  <c r="AI237" i="33" l="1"/>
  <c r="AH28" i="24" s="1"/>
  <c r="AG237" i="33"/>
  <c r="AF28" i="24" s="1"/>
  <c r="AG137" i="33"/>
  <c r="AF19" i="24" s="1"/>
  <c r="AJ137" i="33"/>
  <c r="AI19" i="24" s="1"/>
  <c r="AJ237" i="33"/>
  <c r="AI28" i="24" s="1"/>
  <c r="AH137" i="33"/>
  <c r="AG19" i="24" s="1"/>
  <c r="AF12" i="24"/>
  <c r="AF26" i="24"/>
  <c r="AI409" i="33"/>
  <c r="AH44" i="24" s="1"/>
  <c r="AH409" i="33"/>
  <c r="AG44" i="24" s="1"/>
  <c r="AG409" i="33"/>
  <c r="AF44" i="24" s="1"/>
  <c r="AJ409" i="33"/>
  <c r="AI44" i="24" s="1"/>
  <c r="AF294" i="33"/>
  <c r="AI351" i="33" s="1"/>
  <c r="AH38" i="24" s="1"/>
  <c r="AG251" i="33"/>
  <c r="AI251" i="33"/>
  <c r="AH29" i="24" s="1"/>
  <c r="AH251" i="33"/>
  <c r="AG29" i="24" s="1"/>
  <c r="AJ251" i="33"/>
  <c r="AI29" i="24" s="1"/>
  <c r="AG151" i="33"/>
  <c r="AJ151" i="33"/>
  <c r="AI20" i="24" s="1"/>
  <c r="AI151" i="33"/>
  <c r="AH20" i="24" s="1"/>
  <c r="AH151" i="33"/>
  <c r="AG20" i="24" s="1"/>
  <c r="AG223" i="33"/>
  <c r="AI223" i="33"/>
  <c r="AH27" i="24" s="1"/>
  <c r="AE279" i="33"/>
  <c r="AF279" i="33" s="1"/>
  <c r="AG279" i="33" s="1"/>
  <c r="AJ223" i="33"/>
  <c r="AI27" i="24" s="1"/>
  <c r="M30" i="24"/>
  <c r="AE30" i="24" s="1"/>
  <c r="AE24" i="24" s="1"/>
  <c r="AE265" i="33"/>
  <c r="AF265" i="33" s="1"/>
  <c r="G179" i="33"/>
  <c r="G22" i="24" s="1"/>
  <c r="N109" i="33"/>
  <c r="N17" i="24" s="1"/>
  <c r="D165" i="33"/>
  <c r="D21" i="24" s="1"/>
  <c r="D109" i="33"/>
  <c r="D17" i="24" s="1"/>
  <c r="X109" i="33"/>
  <c r="X17" i="24" s="1"/>
  <c r="Q123" i="33"/>
  <c r="Q18" i="24" s="1"/>
  <c r="N165" i="33"/>
  <c r="N21" i="24" s="1"/>
  <c r="D179" i="33"/>
  <c r="D22" i="24" s="1"/>
  <c r="X179" i="33"/>
  <c r="X22" i="24" s="1"/>
  <c r="E109" i="33"/>
  <c r="E17" i="24" s="1"/>
  <c r="V123" i="33"/>
  <c r="V18" i="24" s="1"/>
  <c r="P165" i="33"/>
  <c r="P21" i="24" s="1"/>
  <c r="E179" i="33"/>
  <c r="E22" i="24" s="1"/>
  <c r="F109" i="33"/>
  <c r="F17" i="24" s="1"/>
  <c r="D123" i="33"/>
  <c r="D18" i="24" s="1"/>
  <c r="X123" i="33"/>
  <c r="X18" i="24" s="1"/>
  <c r="Q165" i="33"/>
  <c r="Q21" i="24" s="1"/>
  <c r="F179" i="33"/>
  <c r="F22" i="24" s="1"/>
  <c r="G109" i="33"/>
  <c r="G17" i="24" s="1"/>
  <c r="E123" i="33"/>
  <c r="E18" i="24" s="1"/>
  <c r="V165" i="33"/>
  <c r="V21" i="24" s="1"/>
  <c r="F123" i="33"/>
  <c r="F18" i="24" s="1"/>
  <c r="X165" i="33"/>
  <c r="X21" i="24" s="1"/>
  <c r="N179" i="33"/>
  <c r="N22" i="24" s="1"/>
  <c r="P109" i="33"/>
  <c r="P17" i="24" s="1"/>
  <c r="G123" i="33"/>
  <c r="G18" i="24" s="1"/>
  <c r="E165" i="33"/>
  <c r="E21" i="24" s="1"/>
  <c r="P179" i="33"/>
  <c r="P22" i="24" s="1"/>
  <c r="Q109" i="33"/>
  <c r="Q17" i="24" s="1"/>
  <c r="N123" i="33"/>
  <c r="N18" i="24" s="1"/>
  <c r="F165" i="33"/>
  <c r="F21" i="24" s="1"/>
  <c r="Q179" i="33"/>
  <c r="Q22" i="24" s="1"/>
  <c r="V109" i="33"/>
  <c r="V17" i="24" s="1"/>
  <c r="P123" i="33"/>
  <c r="P18" i="24" s="1"/>
  <c r="G165" i="33"/>
  <c r="G21" i="24" s="1"/>
  <c r="V179" i="33"/>
  <c r="V22" i="24" s="1"/>
  <c r="D95" i="33"/>
  <c r="Q95" i="33"/>
  <c r="V95" i="33"/>
  <c r="P95" i="33"/>
  <c r="E95" i="33"/>
  <c r="F95" i="33"/>
  <c r="X95" i="33"/>
  <c r="G95" i="33"/>
  <c r="N95" i="33"/>
  <c r="AE4" i="23"/>
  <c r="AF20" i="24" l="1"/>
  <c r="AF31" i="24"/>
  <c r="AF27" i="24"/>
  <c r="AF29" i="24"/>
  <c r="AH351" i="33"/>
  <c r="AG38" i="24" s="1"/>
  <c r="AG33" i="24" s="1"/>
  <c r="AI294" i="33"/>
  <c r="AG351" i="33"/>
  <c r="AF38" i="24" s="1"/>
  <c r="AF33" i="24" s="1"/>
  <c r="AJ351" i="33"/>
  <c r="AJ265" i="33"/>
  <c r="AI30" i="24" s="1"/>
  <c r="AI265" i="33"/>
  <c r="AH30" i="24" s="1"/>
  <c r="AH265" i="33"/>
  <c r="AG30" i="24" s="1"/>
  <c r="AG265" i="33"/>
  <c r="E16" i="24"/>
  <c r="P16" i="24"/>
  <c r="D16" i="24"/>
  <c r="Q16" i="24"/>
  <c r="N16" i="24"/>
  <c r="G16" i="24"/>
  <c r="F16" i="24"/>
  <c r="V16" i="24"/>
  <c r="X16" i="24"/>
  <c r="AF352" i="33"/>
  <c r="AE194" i="33"/>
  <c r="B95" i="33"/>
  <c r="B16" i="24"/>
  <c r="C95" i="33"/>
  <c r="C16" i="24"/>
  <c r="AJ279" i="33"/>
  <c r="AI279" i="33"/>
  <c r="AH279" i="33"/>
  <c r="AG31" i="24" s="1"/>
  <c r="C15" i="35"/>
  <c r="C20" i="35"/>
  <c r="AF30" i="24" l="1"/>
  <c r="M33" i="24"/>
  <c r="E33" i="24"/>
  <c r="N33" i="24"/>
  <c r="V33" i="24"/>
  <c r="D33" i="24"/>
  <c r="F33" i="24"/>
  <c r="P33" i="24"/>
  <c r="L33" i="24"/>
  <c r="AA33" i="24"/>
  <c r="AC33" i="24"/>
  <c r="R33" i="24"/>
  <c r="W33" i="24"/>
  <c r="T33" i="24"/>
  <c r="S33" i="24"/>
  <c r="G33" i="24"/>
  <c r="Z33" i="24"/>
  <c r="Y33" i="24"/>
  <c r="AB33" i="24"/>
  <c r="U33" i="24"/>
  <c r="X33" i="24"/>
  <c r="Q33" i="24"/>
  <c r="AG294" i="33"/>
  <c r="Z294" i="33" s="1"/>
  <c r="AH294" i="33"/>
  <c r="AI38" i="24"/>
  <c r="AJ294" i="33"/>
  <c r="AF194" i="33"/>
  <c r="AJ423" i="33"/>
  <c r="AG423" i="33"/>
  <c r="AI423" i="33"/>
  <c r="AH423" i="33"/>
  <c r="AI31" i="24"/>
  <c r="AH31" i="24"/>
  <c r="C109" i="33"/>
  <c r="C17" i="24"/>
  <c r="B109" i="33"/>
  <c r="B17" i="24"/>
  <c r="AG293" i="33" l="1"/>
  <c r="AG194" i="33" s="1"/>
  <c r="AI293" i="33"/>
  <c r="AH293" i="33"/>
  <c r="AG32" i="24" s="1"/>
  <c r="L294" i="33"/>
  <c r="Y294" i="33"/>
  <c r="W294" i="33"/>
  <c r="AB294" i="33"/>
  <c r="T294" i="33"/>
  <c r="M294" i="33"/>
  <c r="R294" i="33"/>
  <c r="Q294" i="33"/>
  <c r="V294" i="33"/>
  <c r="E294" i="33"/>
  <c r="F294" i="33"/>
  <c r="D294" i="33"/>
  <c r="AA294" i="33"/>
  <c r="X294" i="33"/>
  <c r="U294" i="33"/>
  <c r="G294" i="33"/>
  <c r="N294" i="33"/>
  <c r="S294" i="33"/>
  <c r="P294" i="33"/>
  <c r="AC294" i="33"/>
  <c r="AG45" i="24"/>
  <c r="AG39" i="24" s="1"/>
  <c r="AH352" i="33"/>
  <c r="AG352" i="33"/>
  <c r="AF45" i="24"/>
  <c r="AF39" i="24" s="1"/>
  <c r="AH45" i="24"/>
  <c r="AH39" i="24" s="1"/>
  <c r="AI352" i="33"/>
  <c r="AI45" i="24"/>
  <c r="AI39" i="24" s="1"/>
  <c r="AJ352" i="33"/>
  <c r="AF4" i="23"/>
  <c r="C123" i="33"/>
  <c r="C18" i="24"/>
  <c r="B123" i="33"/>
  <c r="B18" i="24"/>
  <c r="AJ293" i="33"/>
  <c r="AC194" i="33" l="1"/>
  <c r="V39" i="24"/>
  <c r="AA39" i="24"/>
  <c r="AB39" i="24"/>
  <c r="M39" i="24"/>
  <c r="AC39" i="24"/>
  <c r="X39" i="24"/>
  <c r="W39" i="24"/>
  <c r="Z39" i="24"/>
  <c r="P39" i="24"/>
  <c r="F39" i="24"/>
  <c r="T39" i="24"/>
  <c r="L39" i="24"/>
  <c r="R39" i="24"/>
  <c r="U39" i="24"/>
  <c r="S39" i="24"/>
  <c r="G39" i="24"/>
  <c r="D39" i="24"/>
  <c r="Y39" i="24"/>
  <c r="Q39" i="24"/>
  <c r="E39" i="24"/>
  <c r="AF32" i="24"/>
  <c r="AF24" i="24" s="1"/>
  <c r="R352" i="33"/>
  <c r="L352" i="33"/>
  <c r="M352" i="33"/>
  <c r="AC352" i="33"/>
  <c r="D352" i="33"/>
  <c r="Q352" i="33"/>
  <c r="E352" i="33"/>
  <c r="Y352" i="33"/>
  <c r="U352" i="33"/>
  <c r="X352" i="33"/>
  <c r="S352" i="33"/>
  <c r="V352" i="33"/>
  <c r="Z352" i="33"/>
  <c r="AB352" i="33"/>
  <c r="AA352" i="33"/>
  <c r="T352" i="33"/>
  <c r="W352" i="33"/>
  <c r="P352" i="33"/>
  <c r="F352" i="33"/>
  <c r="G352" i="33"/>
  <c r="AH32" i="24"/>
  <c r="AI194" i="33"/>
  <c r="AI32" i="24"/>
  <c r="AJ194" i="33"/>
  <c r="AH194" i="33"/>
  <c r="AG24" i="24"/>
  <c r="AA194" i="33"/>
  <c r="AB194" i="33"/>
  <c r="Q194" i="33"/>
  <c r="U194" i="33"/>
  <c r="S194" i="33"/>
  <c r="N194" i="33"/>
  <c r="Y194" i="33"/>
  <c r="L194" i="33"/>
  <c r="F194" i="33"/>
  <c r="D194" i="33"/>
  <c r="E194" i="33"/>
  <c r="V194" i="33"/>
  <c r="M194" i="33"/>
  <c r="P194" i="33"/>
  <c r="W194" i="33"/>
  <c r="X194" i="33"/>
  <c r="G194" i="33"/>
  <c r="Z194" i="33"/>
  <c r="T194" i="33"/>
  <c r="R194" i="33"/>
  <c r="B165" i="33"/>
  <c r="B21" i="24"/>
  <c r="C165" i="33"/>
  <c r="C21" i="24"/>
  <c r="E24" i="24" l="1"/>
  <c r="AA24" i="24"/>
  <c r="X24" i="24"/>
  <c r="P24" i="24"/>
  <c r="G24" i="24"/>
  <c r="W24" i="24"/>
  <c r="T24" i="24"/>
  <c r="U24" i="24"/>
  <c r="N24" i="24"/>
  <c r="Y24" i="24"/>
  <c r="M24" i="24"/>
  <c r="R24" i="24"/>
  <c r="AC24" i="24"/>
  <c r="S24" i="24"/>
  <c r="D24" i="24"/>
  <c r="V24" i="24"/>
  <c r="L24" i="24"/>
  <c r="AB24" i="24"/>
  <c r="F24" i="24"/>
  <c r="Z24" i="24"/>
  <c r="Q24" i="24"/>
  <c r="C179" i="33"/>
  <c r="C22" i="24"/>
  <c r="C195" i="33"/>
  <c r="C25" i="24"/>
  <c r="B195" i="33"/>
  <c r="B25" i="24"/>
  <c r="B179" i="33"/>
  <c r="B22" i="24"/>
  <c r="B209" i="33" l="1"/>
  <c r="B26" i="24"/>
  <c r="C209" i="33"/>
  <c r="C26" i="24"/>
  <c r="B223" i="33" l="1"/>
  <c r="B27" i="24"/>
  <c r="C223" i="33"/>
  <c r="C27" i="24"/>
  <c r="B265" i="33" l="1"/>
  <c r="B30" i="24"/>
  <c r="C265" i="33"/>
  <c r="C30" i="24"/>
  <c r="B279" i="33" l="1"/>
  <c r="B31" i="24"/>
  <c r="C279" i="33"/>
  <c r="C31" i="24"/>
  <c r="C295" i="33" l="1"/>
  <c r="C34" i="24"/>
  <c r="B295" i="33"/>
  <c r="B34" i="24"/>
  <c r="C337" i="33" l="1"/>
  <c r="C37" i="24"/>
  <c r="C353" i="33"/>
  <c r="C40" i="24"/>
  <c r="B353" i="33"/>
  <c r="B40" i="24"/>
  <c r="B337" i="33"/>
  <c r="B37" i="24"/>
  <c r="C395" i="33" l="1"/>
  <c r="C43" i="24"/>
  <c r="B395" i="33"/>
  <c r="B43" i="24"/>
  <c r="B409" i="33" l="1"/>
  <c r="B44" i="24"/>
  <c r="C409" i="33"/>
  <c r="C44" i="24"/>
  <c r="C21" i="35"/>
  <c r="D2" i="35" s="1"/>
  <c r="X79" i="33"/>
  <c r="X13" i="24" s="1"/>
  <c r="V79" i="33"/>
  <c r="V13" i="24" s="1"/>
  <c r="Q79" i="33"/>
  <c r="Q13" i="24" s="1"/>
  <c r="P79" i="33"/>
  <c r="P13" i="24" s="1"/>
  <c r="N79" i="33"/>
  <c r="N13" i="24" s="1"/>
  <c r="G79" i="33"/>
  <c r="G13" i="24" s="1"/>
  <c r="F79" i="33"/>
  <c r="F13" i="24" s="1"/>
  <c r="E79" i="33"/>
  <c r="E13" i="24" s="1"/>
  <c r="D79" i="33"/>
  <c r="D13" i="24" s="1"/>
  <c r="X37" i="33"/>
  <c r="X10" i="24" s="1"/>
  <c r="V37" i="33"/>
  <c r="Q37" i="33"/>
  <c r="P37" i="33"/>
  <c r="N37" i="33"/>
  <c r="N10" i="24" s="1"/>
  <c r="G37" i="33"/>
  <c r="F37" i="33"/>
  <c r="F10" i="24" s="1"/>
  <c r="E37" i="33"/>
  <c r="E10" i="24" s="1"/>
  <c r="D37" i="33"/>
  <c r="D10" i="24" s="1"/>
  <c r="C23" i="35"/>
  <c r="X23" i="33"/>
  <c r="X9" i="24" s="1"/>
  <c r="V23" i="33"/>
  <c r="Q23" i="33"/>
  <c r="P23" i="33"/>
  <c r="N23" i="33"/>
  <c r="N9" i="24" s="1"/>
  <c r="G23" i="33"/>
  <c r="F23" i="33"/>
  <c r="F9" i="24" s="1"/>
  <c r="E23" i="33"/>
  <c r="E9" i="24" s="1"/>
  <c r="D9" i="24"/>
  <c r="Q9" i="24" l="1"/>
  <c r="V9" i="24"/>
  <c r="P9" i="24"/>
  <c r="G9" i="24"/>
  <c r="P10" i="24"/>
  <c r="G10" i="24"/>
  <c r="Q10" i="24"/>
  <c r="V10" i="24"/>
  <c r="C79" i="33"/>
  <c r="C13" i="24"/>
  <c r="B37" i="33"/>
  <c r="B10" i="24"/>
  <c r="C23" i="33"/>
  <c r="C9" i="24"/>
  <c r="C37" i="33"/>
  <c r="C10" i="24"/>
  <c r="B23" i="33"/>
  <c r="B9" i="24"/>
  <c r="B79" i="33"/>
  <c r="B13" i="24"/>
  <c r="C24" i="35"/>
  <c r="E28" i="35" s="1"/>
  <c r="E27" i="35" s="1"/>
  <c r="E26" i="35" s="1"/>
  <c r="E25" i="35" s="1"/>
  <c r="E24" i="35" s="1"/>
  <c r="E23" i="35" s="1"/>
  <c r="E22" i="35" s="1"/>
  <c r="E21" i="35" s="1"/>
  <c r="E20" i="35" s="1"/>
  <c r="E19" i="35" s="1"/>
  <c r="E18" i="35" s="1"/>
  <c r="E17" i="35" s="1"/>
  <c r="E16" i="35" s="1"/>
  <c r="E15" i="35" s="1"/>
  <c r="E14" i="35" s="1"/>
  <c r="E13" i="35" s="1"/>
  <c r="E12" i="35" s="1"/>
  <c r="E11" i="35" s="1"/>
  <c r="E10" i="35" s="1"/>
  <c r="E9" i="35" s="1"/>
  <c r="E8" i="35" s="1"/>
  <c r="E7" i="35" s="1"/>
  <c r="E6" i="35" s="1"/>
  <c r="E5" i="35" s="1"/>
  <c r="E4" i="35" s="1"/>
  <c r="E3" i="35" s="1"/>
  <c r="E2" i="35" s="1"/>
  <c r="C32" i="35" l="1"/>
  <c r="B38" i="35" s="1"/>
  <c r="F9" i="33"/>
  <c r="Q9" i="33"/>
  <c r="G9" i="33"/>
  <c r="N9" i="33"/>
  <c r="P9" i="33"/>
  <c r="V9" i="33"/>
  <c r="X9" i="33"/>
  <c r="E9" i="33"/>
  <c r="D8" i="24" l="1"/>
  <c r="Q8" i="24"/>
  <c r="V8" i="24"/>
  <c r="N8" i="24"/>
  <c r="F8" i="24"/>
  <c r="P8" i="24"/>
  <c r="G8" i="24"/>
  <c r="E8" i="24"/>
  <c r="X8" i="24"/>
  <c r="AG4" i="23"/>
  <c r="C13" i="34" s="1"/>
  <c r="F15" i="14" l="1"/>
  <c r="F85" i="14"/>
  <c r="F50" i="14"/>
  <c r="G4" i="23"/>
  <c r="N4" i="23"/>
  <c r="L4" i="23"/>
  <c r="H4" i="23"/>
  <c r="D4" i="23"/>
  <c r="I4" i="23"/>
  <c r="E4" i="23"/>
  <c r="J4" i="23"/>
  <c r="V4" i="23"/>
  <c r="X4" i="23"/>
  <c r="Q4" i="23"/>
  <c r="P4" i="23"/>
  <c r="O4" i="23"/>
  <c r="C9" i="33"/>
  <c r="C8" i="24"/>
  <c r="B9" i="33"/>
  <c r="B8" i="24"/>
  <c r="F4" i="23"/>
  <c r="M4" i="23"/>
  <c r="K4" i="23"/>
  <c r="T9" i="33"/>
  <c r="AI4" i="23"/>
  <c r="W37" i="33"/>
  <c r="W10" i="24" s="1"/>
  <c r="Z37" i="33"/>
  <c r="Z10" i="24" s="1"/>
  <c r="T79" i="33"/>
  <c r="T13" i="24" s="1"/>
  <c r="T37" i="33"/>
  <c r="T10" i="24" s="1"/>
  <c r="Y79" i="33"/>
  <c r="Y13" i="24" s="1"/>
  <c r="T8" i="24" l="1"/>
  <c r="R179" i="33"/>
  <c r="R22" i="24" s="1"/>
  <c r="Z179" i="33"/>
  <c r="Z22" i="24" s="1"/>
  <c r="W179" i="33"/>
  <c r="W22" i="24" s="1"/>
  <c r="W123" i="33"/>
  <c r="W18" i="24" s="1"/>
  <c r="Z165" i="33"/>
  <c r="Z21" i="24" s="1"/>
  <c r="T123" i="33"/>
  <c r="T18" i="24" s="1"/>
  <c r="Y165" i="33"/>
  <c r="Y21" i="24" s="1"/>
  <c r="W109" i="33"/>
  <c r="W17" i="24" s="1"/>
  <c r="R165" i="33"/>
  <c r="R21" i="24" s="1"/>
  <c r="R109" i="33"/>
  <c r="R17" i="24" s="1"/>
  <c r="Z9" i="33"/>
  <c r="AH4" i="23"/>
  <c r="Y23" i="33"/>
  <c r="Y9" i="24" s="1"/>
  <c r="T23" i="33"/>
  <c r="T9" i="24" s="1"/>
  <c r="R9" i="33"/>
  <c r="Y9" i="33"/>
  <c r="AJ4" i="23"/>
  <c r="Y37" i="33"/>
  <c r="Y10" i="24" s="1"/>
  <c r="W79" i="33"/>
  <c r="W13" i="24" s="1"/>
  <c r="AB37" i="33"/>
  <c r="AB10" i="24" s="1"/>
  <c r="Z95" i="33"/>
  <c r="Y95" i="33"/>
  <c r="W95" i="33"/>
  <c r="R79" i="33"/>
  <c r="R13" i="24" s="1"/>
  <c r="R37" i="33"/>
  <c r="U37" i="33"/>
  <c r="U10" i="24" s="1"/>
  <c r="U79" i="33"/>
  <c r="U13" i="24" s="1"/>
  <c r="Z16" i="24" l="1"/>
  <c r="W16" i="24"/>
  <c r="Y16" i="24"/>
  <c r="Z8" i="24"/>
  <c r="Y8" i="24"/>
  <c r="R8" i="24"/>
  <c r="R10" i="24"/>
  <c r="M16" i="3"/>
  <c r="G17" i="3"/>
  <c r="J16" i="3"/>
  <c r="H16" i="3"/>
  <c r="P16" i="3"/>
  <c r="AA123" i="33"/>
  <c r="AA18" i="24" s="1"/>
  <c r="Z109" i="33"/>
  <c r="Z17" i="24" s="1"/>
  <c r="R123" i="33"/>
  <c r="R18" i="24" s="1"/>
  <c r="T165" i="33"/>
  <c r="T21" i="24" s="1"/>
  <c r="AB123" i="33"/>
  <c r="AB18" i="24" s="1"/>
  <c r="Y179" i="33"/>
  <c r="Y22" i="24" s="1"/>
  <c r="U123" i="33"/>
  <c r="U18" i="24" s="1"/>
  <c r="U165" i="33"/>
  <c r="U21" i="24" s="1"/>
  <c r="AC109" i="33"/>
  <c r="AC17" i="24" s="1"/>
  <c r="T179" i="33"/>
  <c r="T22" i="24" s="1"/>
  <c r="AA109" i="33"/>
  <c r="AA17" i="24" s="1"/>
  <c r="AA179" i="33"/>
  <c r="AA22" i="24" s="1"/>
  <c r="AC165" i="33"/>
  <c r="AC21" i="24" s="1"/>
  <c r="AB109" i="33"/>
  <c r="AB17" i="24" s="1"/>
  <c r="Z123" i="33"/>
  <c r="Z18" i="24" s="1"/>
  <c r="W165" i="33"/>
  <c r="W21" i="24" s="1"/>
  <c r="Y109" i="33"/>
  <c r="Y17" i="24" s="1"/>
  <c r="U179" i="33"/>
  <c r="U22" i="24" s="1"/>
  <c r="T109" i="33"/>
  <c r="T17" i="24" s="1"/>
  <c r="Y123" i="33"/>
  <c r="Y18" i="24" s="1"/>
  <c r="U109" i="33"/>
  <c r="U17" i="24" s="1"/>
  <c r="AA9" i="33"/>
  <c r="S109" i="33"/>
  <c r="AC79" i="33"/>
  <c r="T4" i="23"/>
  <c r="W23" i="33"/>
  <c r="W9" i="24" s="1"/>
  <c r="Z23" i="33"/>
  <c r="Z9" i="24" s="1"/>
  <c r="Z79" i="33"/>
  <c r="Z13" i="24" s="1"/>
  <c r="R23" i="33"/>
  <c r="U23" i="33"/>
  <c r="U9" i="24" s="1"/>
  <c r="U9" i="33"/>
  <c r="AC123" i="33"/>
  <c r="AC18" i="24" s="1"/>
  <c r="R95" i="33"/>
  <c r="W9" i="33"/>
  <c r="R425" i="33"/>
  <c r="R47" i="24" s="1"/>
  <c r="S79" i="33"/>
  <c r="S13" i="24" s="1"/>
  <c r="AA37" i="33"/>
  <c r="AA10" i="24" s="1"/>
  <c r="T95" i="33"/>
  <c r="AA95" i="33"/>
  <c r="AC95" i="33"/>
  <c r="AB95" i="33"/>
  <c r="S37" i="33"/>
  <c r="S10" i="24" s="1"/>
  <c r="S9" i="33"/>
  <c r="AB16" i="24" l="1"/>
  <c r="T16" i="24"/>
  <c r="R16" i="24"/>
  <c r="AC16" i="24"/>
  <c r="AA16" i="24"/>
  <c r="W8" i="24"/>
  <c r="U8" i="24"/>
  <c r="S8" i="24"/>
  <c r="AA8" i="24"/>
  <c r="R9" i="24"/>
  <c r="D16" i="3"/>
  <c r="J17" i="3"/>
  <c r="G18" i="3"/>
  <c r="P17" i="3"/>
  <c r="I16" i="3"/>
  <c r="H17" i="3"/>
  <c r="H18" i="3" s="1"/>
  <c r="N16" i="3"/>
  <c r="K16" i="3"/>
  <c r="Q16" i="3"/>
  <c r="M17" i="3"/>
  <c r="M6" i="3"/>
  <c r="M7" i="3" s="1"/>
  <c r="M8" i="3" s="1"/>
  <c r="M9" i="3" s="1"/>
  <c r="M10" i="3" s="1"/>
  <c r="M11" i="3" s="1"/>
  <c r="M12" i="3" s="1"/>
  <c r="M13" i="3" s="1"/>
  <c r="M14" i="3" s="1"/>
  <c r="M15" i="3" s="1"/>
  <c r="J6" i="3"/>
  <c r="J7" i="3" s="1"/>
  <c r="J8" i="3" s="1"/>
  <c r="J9" i="3" s="1"/>
  <c r="J10" i="3" s="1"/>
  <c r="J11" i="3" s="1"/>
  <c r="J12" i="3" s="1"/>
  <c r="J13" i="3" s="1"/>
  <c r="J14" i="3" s="1"/>
  <c r="J15" i="3" s="1"/>
  <c r="P6" i="3"/>
  <c r="P7" i="3" s="1"/>
  <c r="P8" i="3" s="1"/>
  <c r="P9" i="3" s="1"/>
  <c r="P10" i="3" s="1"/>
  <c r="P11" i="3" s="1"/>
  <c r="P12" i="3" s="1"/>
  <c r="P13" i="3" s="1"/>
  <c r="P14" i="3" s="1"/>
  <c r="P15" i="3" s="1"/>
  <c r="H6" i="3"/>
  <c r="G7" i="3"/>
  <c r="B19" i="35"/>
  <c r="R4" i="23"/>
  <c r="AA165" i="33"/>
  <c r="AA21" i="24" s="1"/>
  <c r="AB179" i="33"/>
  <c r="AB22" i="24" s="1"/>
  <c r="S165" i="33"/>
  <c r="S21" i="24" s="1"/>
  <c r="S17" i="24"/>
  <c r="AE17" i="24" s="1"/>
  <c r="S123" i="33"/>
  <c r="S18" i="24" s="1"/>
  <c r="AE18" i="24" s="1"/>
  <c r="S179" i="33"/>
  <c r="S22" i="24" s="1"/>
  <c r="U4" i="23"/>
  <c r="AC179" i="33"/>
  <c r="AC22" i="24" s="1"/>
  <c r="AA79" i="33"/>
  <c r="AA13" i="24" s="1"/>
  <c r="AB165" i="33"/>
  <c r="AB79" i="33"/>
  <c r="AB13" i="24" s="1"/>
  <c r="AB9" i="33"/>
  <c r="AC9" i="33"/>
  <c r="Z4" i="23"/>
  <c r="AC13" i="24"/>
  <c r="W4" i="23"/>
  <c r="Y4" i="23"/>
  <c r="AA23" i="33"/>
  <c r="AA9" i="24" s="1"/>
  <c r="AE109" i="33"/>
  <c r="AC37" i="33"/>
  <c r="AC10" i="24" s="1"/>
  <c r="AE10" i="24" s="1"/>
  <c r="S438" i="33"/>
  <c r="S425" i="33" s="1"/>
  <c r="S47" i="24" s="1"/>
  <c r="Z438" i="33"/>
  <c r="Z425" i="33" s="1"/>
  <c r="Z47" i="24" s="1"/>
  <c r="AC438" i="33"/>
  <c r="AC425" i="33" s="1"/>
  <c r="AC47" i="24" s="1"/>
  <c r="T438" i="33"/>
  <c r="T425" i="33" s="1"/>
  <c r="T47" i="24" s="1"/>
  <c r="Y438" i="33"/>
  <c r="Y425" i="33" s="1"/>
  <c r="Y47" i="24" s="1"/>
  <c r="B4" i="35"/>
  <c r="B14" i="35"/>
  <c r="F14" i="35" s="1"/>
  <c r="B15" i="35"/>
  <c r="F15" i="35" s="1"/>
  <c r="B25" i="35"/>
  <c r="F25" i="35" s="1"/>
  <c r="U95" i="33"/>
  <c r="S95" i="33"/>
  <c r="S23" i="33"/>
  <c r="S9" i="24" s="1"/>
  <c r="B20" i="35"/>
  <c r="H179" i="9"/>
  <c r="I179" i="9"/>
  <c r="J179" i="9"/>
  <c r="K179" i="9"/>
  <c r="I88" i="10"/>
  <c r="H88" i="10"/>
  <c r="G88" i="10"/>
  <c r="F4" i="35" l="1"/>
  <c r="S16" i="24"/>
  <c r="U16" i="24"/>
  <c r="AB8" i="24"/>
  <c r="AC8" i="24"/>
  <c r="L16" i="3"/>
  <c r="K17" i="3"/>
  <c r="M18" i="3"/>
  <c r="O16" i="3"/>
  <c r="N17" i="3"/>
  <c r="G19" i="3"/>
  <c r="E16" i="3"/>
  <c r="I17" i="3"/>
  <c r="P18" i="3"/>
  <c r="Q17" i="3"/>
  <c r="R16" i="3"/>
  <c r="D17" i="3"/>
  <c r="J18" i="3"/>
  <c r="K6" i="3"/>
  <c r="N6" i="3"/>
  <c r="Q6" i="3"/>
  <c r="Q7" i="3" s="1"/>
  <c r="F8" i="35"/>
  <c r="F19" i="35"/>
  <c r="F13" i="35"/>
  <c r="G8" i="3"/>
  <c r="F20" i="35"/>
  <c r="F5" i="35"/>
  <c r="H7" i="3"/>
  <c r="H8" i="3" s="1"/>
  <c r="AF109" i="33"/>
  <c r="AE47" i="24"/>
  <c r="AE46" i="24" s="1"/>
  <c r="B21" i="35"/>
  <c r="F21" i="35" s="1"/>
  <c r="AE123" i="33"/>
  <c r="AF123" i="33" s="1"/>
  <c r="AE165" i="33"/>
  <c r="AF165" i="33" s="1"/>
  <c r="AE179" i="33"/>
  <c r="AF179" i="33" s="1"/>
  <c r="AB21" i="24"/>
  <c r="AE21" i="24" s="1"/>
  <c r="AE22" i="24"/>
  <c r="AA4" i="23"/>
  <c r="B24" i="35"/>
  <c r="F28" i="35" s="1"/>
  <c r="AE13" i="24"/>
  <c r="AC4" i="23"/>
  <c r="AB23" i="33"/>
  <c r="AB9" i="24" s="1"/>
  <c r="S4" i="23"/>
  <c r="B23" i="35"/>
  <c r="F23" i="35" s="1"/>
  <c r="AB4" i="23"/>
  <c r="AC23" i="33"/>
  <c r="AC9" i="24" s="1"/>
  <c r="AE79" i="33"/>
  <c r="AF79" i="33" s="1"/>
  <c r="AJ79" i="33" s="1"/>
  <c r="AI13" i="24" s="1"/>
  <c r="AE37" i="33"/>
  <c r="AF37" i="33" s="1"/>
  <c r="AE425" i="33"/>
  <c r="AE424" i="33" s="1"/>
  <c r="AE95" i="33"/>
  <c r="AE9" i="33"/>
  <c r="F107" i="14"/>
  <c r="F72" i="14"/>
  <c r="F37" i="14"/>
  <c r="F24" i="35" l="1"/>
  <c r="B34" i="35"/>
  <c r="B35" i="35"/>
  <c r="AE16" i="24"/>
  <c r="AE15" i="24" s="1"/>
  <c r="AE8" i="24"/>
  <c r="AI165" i="33"/>
  <c r="AH21" i="24" s="1"/>
  <c r="AJ165" i="33"/>
  <c r="AI21" i="24" s="1"/>
  <c r="AG165" i="33"/>
  <c r="AH165" i="33"/>
  <c r="AG21" i="24" s="1"/>
  <c r="AJ109" i="33"/>
  <c r="AI17" i="24" s="1"/>
  <c r="AI109" i="33"/>
  <c r="AH17" i="24" s="1"/>
  <c r="AH109" i="33"/>
  <c r="AG17" i="24" s="1"/>
  <c r="AG109" i="33"/>
  <c r="AH123" i="33"/>
  <c r="AG18" i="24" s="1"/>
  <c r="AG123" i="33"/>
  <c r="AJ123" i="33"/>
  <c r="AI18" i="24" s="1"/>
  <c r="AI123" i="33"/>
  <c r="AH18" i="24" s="1"/>
  <c r="AJ37" i="33"/>
  <c r="AI10" i="24" s="1"/>
  <c r="AG37" i="33"/>
  <c r="AI37" i="33"/>
  <c r="AH10" i="24" s="1"/>
  <c r="AH37" i="33"/>
  <c r="AG10" i="24" s="1"/>
  <c r="N7" i="3"/>
  <c r="K7" i="3"/>
  <c r="F16" i="3"/>
  <c r="J19" i="3"/>
  <c r="R17" i="3"/>
  <c r="E17" i="3"/>
  <c r="O17" i="3"/>
  <c r="M19" i="3"/>
  <c r="D18" i="3"/>
  <c r="L17" i="3"/>
  <c r="P19" i="3"/>
  <c r="G20" i="3"/>
  <c r="G9" i="3"/>
  <c r="F26" i="35"/>
  <c r="F2" i="35"/>
  <c r="AE23" i="33"/>
  <c r="AF23" i="33" s="1"/>
  <c r="AG23" i="33" s="1"/>
  <c r="AF425" i="33"/>
  <c r="AH425" i="33" s="1"/>
  <c r="AE9" i="24"/>
  <c r="AH79" i="33"/>
  <c r="AG13" i="24" s="1"/>
  <c r="AI79" i="33"/>
  <c r="AH13" i="24" s="1"/>
  <c r="AG79" i="33"/>
  <c r="AH179" i="33"/>
  <c r="AG22" i="24" s="1"/>
  <c r="AG179" i="33"/>
  <c r="AJ179" i="33"/>
  <c r="AI22" i="24" s="1"/>
  <c r="AI179" i="33"/>
  <c r="AH22" i="24" s="1"/>
  <c r="AE94" i="33"/>
  <c r="AF95" i="33"/>
  <c r="AG95" i="33" s="1"/>
  <c r="AF9" i="33"/>
  <c r="AG9" i="33" s="1"/>
  <c r="C2" i="24"/>
  <c r="C8" i="34"/>
  <c r="C5" i="34"/>
  <c r="AE7" i="24" l="1"/>
  <c r="AF18" i="24"/>
  <c r="AF21" i="24"/>
  <c r="AF9" i="24"/>
  <c r="AF13" i="24"/>
  <c r="AF10" i="24"/>
  <c r="AF94" i="33"/>
  <c r="AF22" i="24"/>
  <c r="AF17" i="24"/>
  <c r="AF16" i="24"/>
  <c r="AF8" i="24"/>
  <c r="D19" i="3"/>
  <c r="F17" i="3"/>
  <c r="P20" i="3"/>
  <c r="M20" i="3"/>
  <c r="C9" i="34"/>
  <c r="C15" i="34" s="1"/>
  <c r="C19" i="34" s="1"/>
  <c r="G21" i="3"/>
  <c r="J20" i="3"/>
  <c r="F32" i="35"/>
  <c r="B36" i="35" s="1"/>
  <c r="G10" i="3"/>
  <c r="AI23" i="33"/>
  <c r="AH9" i="24" s="1"/>
  <c r="AJ23" i="33"/>
  <c r="AI9" i="24" s="1"/>
  <c r="AH23" i="33"/>
  <c r="AG9" i="24" s="1"/>
  <c r="AH424" i="33"/>
  <c r="AG47" i="24"/>
  <c r="AG46" i="24" s="1"/>
  <c r="AG425" i="33"/>
  <c r="AJ425" i="33"/>
  <c r="AI425" i="33"/>
  <c r="AH9" i="33"/>
  <c r="AI9" i="33"/>
  <c r="AJ9" i="33"/>
  <c r="C20" i="34" l="1"/>
  <c r="G16" i="35"/>
  <c r="G17" i="35"/>
  <c r="G30" i="35"/>
  <c r="G14" i="35"/>
  <c r="G9" i="35"/>
  <c r="G10" i="35"/>
  <c r="G18" i="35"/>
  <c r="G27" i="35"/>
  <c r="G4" i="35"/>
  <c r="G28" i="35"/>
  <c r="G25" i="35"/>
  <c r="D20" i="3"/>
  <c r="G26" i="35"/>
  <c r="G24" i="35"/>
  <c r="G20" i="35"/>
  <c r="G15" i="35"/>
  <c r="F444" i="33"/>
  <c r="F445" i="33" s="1"/>
  <c r="G3" i="35"/>
  <c r="M21" i="3"/>
  <c r="G2" i="35"/>
  <c r="G31" i="35"/>
  <c r="G22" i="35"/>
  <c r="J21" i="3"/>
  <c r="G5" i="35"/>
  <c r="G21" i="35"/>
  <c r="G6" i="35"/>
  <c r="G22" i="3"/>
  <c r="P21" i="3"/>
  <c r="G13" i="35"/>
  <c r="G8" i="35"/>
  <c r="G11" i="35"/>
  <c r="G23" i="35"/>
  <c r="G12" i="35"/>
  <c r="G7" i="35"/>
  <c r="G19" i="35"/>
  <c r="G29" i="35"/>
  <c r="G11" i="3"/>
  <c r="AH47" i="24"/>
  <c r="AI424" i="33"/>
  <c r="AI47" i="24"/>
  <c r="AJ424" i="33"/>
  <c r="AF424" i="33"/>
  <c r="AF47" i="24"/>
  <c r="AH8" i="24"/>
  <c r="AI8" i="24"/>
  <c r="AG8" i="24"/>
  <c r="AG424" i="33"/>
  <c r="AH3" i="23"/>
  <c r="D21" i="3" l="1"/>
  <c r="G32" i="35"/>
  <c r="B40" i="35" s="1"/>
  <c r="B41" i="35" s="1"/>
  <c r="G23" i="3"/>
  <c r="P22" i="3"/>
  <c r="J22" i="3"/>
  <c r="M22" i="3"/>
  <c r="G12" i="3"/>
  <c r="AF46" i="24"/>
  <c r="M23" i="3" l="1"/>
  <c r="J23" i="3"/>
  <c r="D22" i="3"/>
  <c r="G24" i="3"/>
  <c r="P23" i="3"/>
  <c r="G13" i="3"/>
  <c r="D23" i="3" l="1"/>
  <c r="G25" i="3"/>
  <c r="M24" i="3"/>
  <c r="P24" i="3"/>
  <c r="J24" i="3"/>
  <c r="G14" i="3"/>
  <c r="AD4" i="23"/>
  <c r="C21" i="34" l="1"/>
  <c r="C22" i="34" s="1"/>
  <c r="J25" i="3"/>
  <c r="M25" i="3"/>
  <c r="D24" i="3"/>
  <c r="P25" i="3"/>
  <c r="G15" i="3"/>
  <c r="E37" i="17"/>
  <c r="E38" i="17" s="1"/>
  <c r="E39" i="17" s="1"/>
  <c r="E40" i="17" s="1"/>
  <c r="E41" i="17" s="1"/>
  <c r="E42" i="17" s="1"/>
  <c r="E43" i="17" s="1"/>
  <c r="E44" i="17" s="1"/>
  <c r="E45" i="17" s="1"/>
  <c r="D25" i="3" l="1"/>
  <c r="H4" i="10" l="1"/>
  <c r="F5" i="10"/>
  <c r="G5" i="10"/>
  <c r="I4" i="10" l="1"/>
  <c r="G41" i="10"/>
  <c r="AW84" i="19"/>
  <c r="AW83" i="19"/>
  <c r="AW82" i="19"/>
  <c r="AW81" i="19"/>
  <c r="AW80" i="19"/>
  <c r="AW78" i="19"/>
  <c r="AW77" i="19"/>
  <c r="AW76" i="19"/>
  <c r="AW75" i="19"/>
  <c r="AW74" i="19"/>
  <c r="AW72" i="19"/>
  <c r="AW71" i="19"/>
  <c r="AW70" i="19"/>
  <c r="AW69" i="19"/>
  <c r="AW68" i="19"/>
  <c r="AW67" i="19"/>
  <c r="AW65" i="19"/>
  <c r="AW64" i="19"/>
  <c r="AW63" i="19"/>
  <c r="AW62" i="19"/>
  <c r="AW61" i="19"/>
  <c r="AP84" i="19"/>
  <c r="AP83" i="19"/>
  <c r="AP82" i="19"/>
  <c r="AP81" i="19"/>
  <c r="AP80" i="19"/>
  <c r="AP67" i="19"/>
  <c r="AP65" i="19"/>
  <c r="AP64" i="19"/>
  <c r="AP63" i="19"/>
  <c r="AP62" i="19"/>
  <c r="AP61" i="19"/>
  <c r="AC5" i="19"/>
  <c r="AC6" i="19"/>
  <c r="AC7" i="19"/>
  <c r="AC8" i="19"/>
  <c r="AC9" i="19"/>
  <c r="AC10" i="19"/>
  <c r="AC61" i="19"/>
  <c r="AC62" i="19"/>
  <c r="AC63" i="19"/>
  <c r="AC64" i="19"/>
  <c r="AC65" i="19"/>
  <c r="AC67" i="19"/>
  <c r="AC68" i="19"/>
  <c r="AC69" i="19"/>
  <c r="AC70" i="19"/>
  <c r="AC71" i="19"/>
  <c r="AC72" i="19"/>
  <c r="AC74" i="19"/>
  <c r="AC75" i="19"/>
  <c r="AC76" i="19"/>
  <c r="AC77" i="19"/>
  <c r="AC78" i="19"/>
  <c r="AC80" i="19"/>
  <c r="AC81" i="19"/>
  <c r="AC82" i="19"/>
  <c r="AC83" i="19"/>
  <c r="AC84" i="19"/>
  <c r="K4" i="9" l="1"/>
  <c r="K57" i="9"/>
  <c r="K150" i="9"/>
  <c r="K175" i="9" s="1"/>
  <c r="AT89" i="19" l="1"/>
  <c r="AU89" i="19" s="1"/>
  <c r="AM89" i="19"/>
  <c r="AN89" i="19" s="1"/>
  <c r="AD89" i="19"/>
  <c r="AC89" i="19"/>
  <c r="AT84" i="19"/>
  <c r="AU84" i="19" s="1"/>
  <c r="AT83" i="19"/>
  <c r="AU83" i="19" s="1"/>
  <c r="AT82" i="19"/>
  <c r="AU82" i="19" s="1"/>
  <c r="AT81" i="19"/>
  <c r="AT80" i="19"/>
  <c r="AU80" i="19" s="1"/>
  <c r="AY80" i="19" s="1"/>
  <c r="AT78" i="19"/>
  <c r="AU78" i="19" s="1"/>
  <c r="AT77" i="19"/>
  <c r="AU77" i="19" s="1"/>
  <c r="AT76" i="19"/>
  <c r="AU76" i="19" s="1"/>
  <c r="AT75" i="19"/>
  <c r="AT74" i="19"/>
  <c r="AU74" i="19" s="1"/>
  <c r="AY74" i="19" s="1"/>
  <c r="AT72" i="19"/>
  <c r="AU72" i="19" s="1"/>
  <c r="AT71" i="19"/>
  <c r="AT70" i="19"/>
  <c r="AU70" i="19" s="1"/>
  <c r="AT69" i="19"/>
  <c r="AT68" i="19"/>
  <c r="AU68" i="19" s="1"/>
  <c r="AT67" i="19"/>
  <c r="AU67" i="19" s="1"/>
  <c r="AY67" i="19" s="1"/>
  <c r="AT65" i="19"/>
  <c r="AU65" i="19" s="1"/>
  <c r="AT64" i="19"/>
  <c r="AU64" i="19" s="1"/>
  <c r="AT63" i="19"/>
  <c r="AU63" i="19" s="1"/>
  <c r="AT62" i="19"/>
  <c r="AT61" i="19"/>
  <c r="AU61" i="19" s="1"/>
  <c r="AY61" i="19" s="1"/>
  <c r="AT10" i="19"/>
  <c r="AU10" i="19" s="1"/>
  <c r="AT9" i="19"/>
  <c r="AU9" i="19" s="1"/>
  <c r="AT8" i="19"/>
  <c r="AU8" i="19" s="1"/>
  <c r="AT7" i="19"/>
  <c r="AU7" i="19" s="1"/>
  <c r="AT6" i="19"/>
  <c r="AU6" i="19" s="1"/>
  <c r="AT5" i="19"/>
  <c r="AU5" i="19" s="1"/>
  <c r="AM72" i="19"/>
  <c r="AM71" i="19"/>
  <c r="AM70" i="19"/>
  <c r="AN70" i="19" s="1"/>
  <c r="AM69" i="19"/>
  <c r="AN69" i="19" s="1"/>
  <c r="AM68" i="19"/>
  <c r="AM84" i="19"/>
  <c r="AM83" i="19"/>
  <c r="AN83" i="19" s="1"/>
  <c r="AM82" i="19"/>
  <c r="AM81" i="19"/>
  <c r="AM80" i="19"/>
  <c r="AM78" i="19"/>
  <c r="AN78" i="19" s="1"/>
  <c r="AM77" i="19"/>
  <c r="AN77" i="19" s="1"/>
  <c r="AM76" i="19"/>
  <c r="AM75" i="19"/>
  <c r="AM74" i="19"/>
  <c r="AM67" i="19"/>
  <c r="AM65" i="19"/>
  <c r="AM64" i="19"/>
  <c r="AN64" i="19" s="1"/>
  <c r="AM63" i="19"/>
  <c r="AN63" i="19" s="1"/>
  <c r="AM62" i="19"/>
  <c r="AM61" i="19"/>
  <c r="AM10" i="19"/>
  <c r="AN10" i="19" s="1"/>
  <c r="AM9" i="19"/>
  <c r="AM8" i="19"/>
  <c r="AN8" i="19" s="1"/>
  <c r="AM7" i="19"/>
  <c r="AN7" i="19" s="1"/>
  <c r="AM6" i="19"/>
  <c r="AM5" i="19"/>
  <c r="A88" i="26"/>
  <c r="BI75" i="19"/>
  <c r="BH75" i="19"/>
  <c r="BG75" i="19"/>
  <c r="BF75" i="19"/>
  <c r="AD74" i="19"/>
  <c r="AG74" i="19" s="1"/>
  <c r="AD75" i="19"/>
  <c r="AG75" i="19" s="1"/>
  <c r="AJ75" i="19" s="1"/>
  <c r="AD76" i="19"/>
  <c r="AG76" i="19" s="1"/>
  <c r="AJ76" i="19" s="1"/>
  <c r="AQ74" i="19" l="1"/>
  <c r="AJ74" i="19"/>
  <c r="AQ75" i="19"/>
  <c r="AX75" i="19"/>
  <c r="AQ76" i="19"/>
  <c r="A6" i="26"/>
  <c r="M1" i="3"/>
  <c r="A76" i="26"/>
  <c r="I1" i="10"/>
  <c r="A87" i="26"/>
  <c r="G1" i="10"/>
  <c r="A73" i="26"/>
  <c r="AY68" i="19"/>
  <c r="AR63" i="19"/>
  <c r="AR64" i="19"/>
  <c r="AY82" i="19"/>
  <c r="AY83" i="19"/>
  <c r="AY84" i="19"/>
  <c r="AR83" i="19"/>
  <c r="AY78" i="19"/>
  <c r="AY76" i="19"/>
  <c r="AY77" i="19"/>
  <c r="AR77" i="19"/>
  <c r="AR78" i="19"/>
  <c r="AY72" i="19"/>
  <c r="AY70" i="19"/>
  <c r="AR69" i="19"/>
  <c r="AR70" i="19"/>
  <c r="AY64" i="19"/>
  <c r="AY65" i="19"/>
  <c r="AY63" i="19"/>
  <c r="AX76" i="19"/>
  <c r="AN9" i="19"/>
  <c r="AN71" i="19"/>
  <c r="AR71" i="19" s="1"/>
  <c r="AN80" i="19"/>
  <c r="AR80" i="19" s="1"/>
  <c r="AN67" i="19"/>
  <c r="AR67" i="19" s="1"/>
  <c r="AN6" i="19"/>
  <c r="AN61" i="19"/>
  <c r="AR61" i="19" s="1"/>
  <c r="AN62" i="19"/>
  <c r="AR62" i="19" s="1"/>
  <c r="AN81" i="19"/>
  <c r="AR81" i="19" s="1"/>
  <c r="AN5" i="19"/>
  <c r="AN65" i="19"/>
  <c r="AR65" i="19" s="1"/>
  <c r="AN84" i="19"/>
  <c r="AR84" i="19" s="1"/>
  <c r="AN68" i="19"/>
  <c r="AR68" i="19" s="1"/>
  <c r="AN75" i="19"/>
  <c r="AR75" i="19" s="1"/>
  <c r="AN72" i="19"/>
  <c r="AR72" i="19" s="1"/>
  <c r="AN82" i="19"/>
  <c r="AR82" i="19" s="1"/>
  <c r="AN74" i="19"/>
  <c r="AR74" i="19" s="1"/>
  <c r="AN76" i="19"/>
  <c r="AR76" i="19" s="1"/>
  <c r="AU81" i="19"/>
  <c r="AY81" i="19" s="1"/>
  <c r="AU75" i="19"/>
  <c r="AY75" i="19" s="1"/>
  <c r="AX74" i="19"/>
  <c r="AU71" i="19"/>
  <c r="AY71" i="19" s="1"/>
  <c r="AU69" i="19"/>
  <c r="AY69" i="19" s="1"/>
  <c r="AU62" i="19"/>
  <c r="AY62" i="19" s="1"/>
  <c r="G1" i="3"/>
  <c r="P1" i="3"/>
  <c r="Q2" i="20"/>
  <c r="R2" i="20"/>
  <c r="S2" i="20"/>
  <c r="J1" i="3"/>
  <c r="P2" i="20"/>
  <c r="H1" i="10"/>
  <c r="AK74" i="19" l="1"/>
  <c r="AK76" i="19"/>
  <c r="AK75" i="19"/>
  <c r="AI113" i="23" l="1"/>
  <c r="AH113" i="23"/>
  <c r="AG113" i="23"/>
  <c r="E128" i="14" l="1"/>
  <c r="E127" i="14"/>
  <c r="E126" i="14"/>
  <c r="E125" i="14"/>
  <c r="E124" i="14"/>
  <c r="E123" i="14"/>
  <c r="E122" i="14"/>
  <c r="E121" i="14"/>
  <c r="E120" i="14"/>
  <c r="D120" i="14" s="1"/>
  <c r="E119" i="14"/>
  <c r="D119" i="14" s="1"/>
  <c r="E118" i="14"/>
  <c r="E117" i="14"/>
  <c r="E116" i="14"/>
  <c r="E115" i="14"/>
  <c r="E114" i="14"/>
  <c r="E113" i="14"/>
  <c r="E112" i="14"/>
  <c r="E111" i="14"/>
  <c r="E110" i="14"/>
  <c r="E109" i="14"/>
  <c r="A107" i="14"/>
  <c r="E85" i="14"/>
  <c r="D85" i="14" s="1"/>
  <c r="E84" i="14"/>
  <c r="D84" i="14" s="1"/>
  <c r="A72" i="14"/>
  <c r="E50" i="14"/>
  <c r="D50" i="14" s="1"/>
  <c r="E49" i="14"/>
  <c r="D49" i="14" s="1"/>
  <c r="A37" i="14"/>
  <c r="E15" i="14"/>
  <c r="D15" i="14" s="1"/>
  <c r="E14" i="14"/>
  <c r="D14" i="14" s="1"/>
  <c r="A2" i="14"/>
  <c r="D8" i="1"/>
  <c r="C45" i="1" s="1"/>
  <c r="AO119" i="26"/>
  <c r="AN119" i="26"/>
  <c r="AM119" i="26"/>
  <c r="AF119" i="26"/>
  <c r="AE119" i="26"/>
  <c r="AD119" i="26"/>
  <c r="AC119" i="26"/>
  <c r="AP118" i="26"/>
  <c r="AH118" i="26"/>
  <c r="AG118" i="26"/>
  <c r="AP88" i="26"/>
  <c r="AH88" i="26"/>
  <c r="AG88" i="26"/>
  <c r="AP87" i="26"/>
  <c r="AH87" i="26"/>
  <c r="AG87" i="26"/>
  <c r="AP76" i="26"/>
  <c r="AH76" i="26"/>
  <c r="AG76" i="26"/>
  <c r="AI76" i="26" s="1"/>
  <c r="AP73" i="26"/>
  <c r="AH73" i="26"/>
  <c r="AG73" i="26"/>
  <c r="AP6" i="26"/>
  <c r="AH6" i="26"/>
  <c r="AG6" i="26"/>
  <c r="F23" i="27"/>
  <c r="F22" i="27"/>
  <c r="F21" i="27"/>
  <c r="F20" i="27"/>
  <c r="F19" i="27"/>
  <c r="F18" i="27"/>
  <c r="F17" i="27"/>
  <c r="F16" i="27"/>
  <c r="F15" i="27"/>
  <c r="F14" i="27"/>
  <c r="F13" i="27"/>
  <c r="F12" i="27"/>
  <c r="F8" i="27"/>
  <c r="AD84" i="19"/>
  <c r="AG84" i="19" s="1"/>
  <c r="AJ84" i="19" s="1"/>
  <c r="AD83" i="19"/>
  <c r="AG83" i="19" s="1"/>
  <c r="AJ83" i="19" s="1"/>
  <c r="AD82" i="19"/>
  <c r="AG82" i="19" s="1"/>
  <c r="AJ82" i="19" s="1"/>
  <c r="AD81" i="19"/>
  <c r="AG81" i="19" s="1"/>
  <c r="AJ81" i="19" s="1"/>
  <c r="AD80" i="19"/>
  <c r="AG80" i="19" s="1"/>
  <c r="AD78" i="19"/>
  <c r="AG78" i="19" s="1"/>
  <c r="AJ78" i="19" s="1"/>
  <c r="AD77" i="19"/>
  <c r="AG77" i="19" s="1"/>
  <c r="AJ77" i="19" s="1"/>
  <c r="AD72" i="19"/>
  <c r="AG72" i="19" s="1"/>
  <c r="AJ72" i="19" s="1"/>
  <c r="AD71" i="19"/>
  <c r="AG71" i="19" s="1"/>
  <c r="AJ71" i="19" s="1"/>
  <c r="AD70" i="19"/>
  <c r="AG70" i="19" s="1"/>
  <c r="AJ70" i="19" s="1"/>
  <c r="AD69" i="19"/>
  <c r="AG69" i="19" s="1"/>
  <c r="AJ69" i="19" s="1"/>
  <c r="AD68" i="19"/>
  <c r="AG68" i="19" s="1"/>
  <c r="AJ68" i="19" s="1"/>
  <c r="AD67" i="19"/>
  <c r="AG67" i="19" s="1"/>
  <c r="AJ67" i="19" s="1"/>
  <c r="AD65" i="19"/>
  <c r="AG65" i="19" s="1"/>
  <c r="AJ65" i="19" s="1"/>
  <c r="AD64" i="19"/>
  <c r="AG64" i="19" s="1"/>
  <c r="AJ64" i="19" s="1"/>
  <c r="AD63" i="19"/>
  <c r="AG63" i="19" s="1"/>
  <c r="AJ63" i="19" s="1"/>
  <c r="AD62" i="19"/>
  <c r="AG62" i="19" s="1"/>
  <c r="AJ62" i="19" s="1"/>
  <c r="AD61" i="19"/>
  <c r="AG61" i="19" s="1"/>
  <c r="AJ61" i="19" s="1"/>
  <c r="AD10" i="19"/>
  <c r="AD9" i="19"/>
  <c r="AD8" i="19"/>
  <c r="AD7" i="19"/>
  <c r="AD6" i="19"/>
  <c r="AD5" i="19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I34" i="10"/>
  <c r="S12" i="20" s="1"/>
  <c r="H34" i="10"/>
  <c r="R12" i="20" s="1"/>
  <c r="G34" i="10"/>
  <c r="Q12" i="20" s="1"/>
  <c r="F34" i="10"/>
  <c r="P12" i="20" s="1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I3" i="10"/>
  <c r="S8" i="20" s="1"/>
  <c r="H3" i="10"/>
  <c r="G3" i="10"/>
  <c r="F170" i="9"/>
  <c r="F169" i="9"/>
  <c r="F168" i="9"/>
  <c r="F167" i="9"/>
  <c r="F166" i="9"/>
  <c r="F165" i="9"/>
  <c r="F164" i="9"/>
  <c r="F163" i="9"/>
  <c r="F162" i="9"/>
  <c r="F161" i="9"/>
  <c r="F160" i="9"/>
  <c r="F159" i="9"/>
  <c r="F158" i="9"/>
  <c r="F157" i="9"/>
  <c r="F156" i="9"/>
  <c r="F155" i="9"/>
  <c r="F154" i="9"/>
  <c r="F153" i="9"/>
  <c r="F152" i="9"/>
  <c r="F151" i="9"/>
  <c r="J150" i="9"/>
  <c r="I150" i="9"/>
  <c r="H150" i="9"/>
  <c r="G150" i="9"/>
  <c r="F149" i="9"/>
  <c r="F148" i="9"/>
  <c r="F147" i="9"/>
  <c r="F146" i="9"/>
  <c r="F145" i="9"/>
  <c r="F144" i="9"/>
  <c r="F143" i="9"/>
  <c r="F142" i="9"/>
  <c r="F139" i="9"/>
  <c r="F138" i="9"/>
  <c r="F137" i="9"/>
  <c r="F136" i="9"/>
  <c r="F135" i="9"/>
  <c r="F134" i="9"/>
  <c r="F133" i="9"/>
  <c r="F132" i="9"/>
  <c r="F128" i="9"/>
  <c r="F127" i="9"/>
  <c r="F126" i="9"/>
  <c r="F125" i="9"/>
  <c r="F124" i="9"/>
  <c r="F123" i="9"/>
  <c r="F122" i="9"/>
  <c r="F121" i="9"/>
  <c r="F120" i="9"/>
  <c r="F11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0" i="9"/>
  <c r="F79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J57" i="9"/>
  <c r="S11" i="20" s="1"/>
  <c r="I57" i="9"/>
  <c r="H57" i="9"/>
  <c r="Q11" i="20" s="1"/>
  <c r="G57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J4" i="9"/>
  <c r="S7" i="20" s="1"/>
  <c r="I4" i="9"/>
  <c r="H4" i="9"/>
  <c r="Q7" i="20" s="1"/>
  <c r="G4" i="9"/>
  <c r="E3" i="18"/>
  <c r="E25" i="17"/>
  <c r="E4" i="17"/>
  <c r="M27" i="11"/>
  <c r="B13" i="6" s="1"/>
  <c r="L27" i="11"/>
  <c r="B12" i="6" s="1"/>
  <c r="K27" i="11"/>
  <c r="B11" i="6" s="1"/>
  <c r="J27" i="11"/>
  <c r="B10" i="6" s="1"/>
  <c r="I27" i="11"/>
  <c r="B9" i="6" s="1"/>
  <c r="H27" i="11"/>
  <c r="B8" i="6" s="1"/>
  <c r="G27" i="11"/>
  <c r="F27" i="11"/>
  <c r="E27" i="11"/>
  <c r="B5" i="6" s="1"/>
  <c r="D27" i="11"/>
  <c r="B4" i="6" s="1"/>
  <c r="M25" i="11"/>
  <c r="H13" i="6" s="1"/>
  <c r="L25" i="11"/>
  <c r="H12" i="6" s="1"/>
  <c r="K25" i="11"/>
  <c r="H11" i="6" s="1"/>
  <c r="J25" i="11"/>
  <c r="H10" i="6" s="1"/>
  <c r="I25" i="11"/>
  <c r="H9" i="6" s="1"/>
  <c r="H25" i="11"/>
  <c r="H8" i="6" s="1"/>
  <c r="G25" i="11"/>
  <c r="H7" i="6" s="1"/>
  <c r="F25" i="11"/>
  <c r="H6" i="6" s="1"/>
  <c r="E25" i="11"/>
  <c r="H5" i="6" s="1"/>
  <c r="D25" i="11"/>
  <c r="H4" i="6" s="1"/>
  <c r="M23" i="11"/>
  <c r="E13" i="6" s="1"/>
  <c r="L23" i="11"/>
  <c r="K23" i="11"/>
  <c r="J23" i="11"/>
  <c r="I23" i="11"/>
  <c r="E9" i="6" s="1"/>
  <c r="H23" i="11"/>
  <c r="G23" i="11"/>
  <c r="E7" i="6" s="1"/>
  <c r="F23" i="11"/>
  <c r="E6" i="6" s="1"/>
  <c r="E23" i="11"/>
  <c r="E5" i="6" s="1"/>
  <c r="D23" i="11"/>
  <c r="S157" i="3"/>
  <c r="P146" i="3"/>
  <c r="M146" i="3"/>
  <c r="J146" i="3"/>
  <c r="G146" i="3"/>
  <c r="P145" i="3"/>
  <c r="M145" i="3"/>
  <c r="J145" i="3"/>
  <c r="G145" i="3"/>
  <c r="P144" i="3"/>
  <c r="M144" i="3"/>
  <c r="J144" i="3"/>
  <c r="G144" i="3"/>
  <c r="P143" i="3"/>
  <c r="M143" i="3"/>
  <c r="J143" i="3"/>
  <c r="G143" i="3"/>
  <c r="P142" i="3"/>
  <c r="M142" i="3"/>
  <c r="J142" i="3"/>
  <c r="G142" i="3"/>
  <c r="P141" i="3"/>
  <c r="M141" i="3"/>
  <c r="J141" i="3"/>
  <c r="G141" i="3"/>
  <c r="P140" i="3"/>
  <c r="M140" i="3"/>
  <c r="J140" i="3"/>
  <c r="G140" i="3"/>
  <c r="P139" i="3"/>
  <c r="M139" i="3"/>
  <c r="J139" i="3"/>
  <c r="G139" i="3"/>
  <c r="Q138" i="3"/>
  <c r="P138" i="3"/>
  <c r="N138" i="3"/>
  <c r="M138" i="3"/>
  <c r="K138" i="3"/>
  <c r="J138" i="3"/>
  <c r="H138" i="3"/>
  <c r="G138" i="3"/>
  <c r="Q137" i="3"/>
  <c r="P137" i="3"/>
  <c r="N137" i="3"/>
  <c r="M137" i="3"/>
  <c r="K137" i="3"/>
  <c r="J137" i="3"/>
  <c r="H137" i="3"/>
  <c r="G137" i="3"/>
  <c r="D126" i="3"/>
  <c r="D125" i="3"/>
  <c r="D124" i="3"/>
  <c r="D123" i="3"/>
  <c r="D122" i="3"/>
  <c r="D121" i="3"/>
  <c r="D120" i="3"/>
  <c r="D119" i="3"/>
  <c r="D118" i="3"/>
  <c r="D117" i="3"/>
  <c r="P96" i="3"/>
  <c r="M96" i="3"/>
  <c r="J96" i="3"/>
  <c r="G96" i="3"/>
  <c r="P95" i="3"/>
  <c r="M95" i="3"/>
  <c r="J95" i="3"/>
  <c r="G95" i="3"/>
  <c r="P94" i="3"/>
  <c r="M94" i="3"/>
  <c r="J94" i="3"/>
  <c r="G94" i="3"/>
  <c r="P93" i="3"/>
  <c r="M93" i="3"/>
  <c r="J93" i="3"/>
  <c r="G93" i="3"/>
  <c r="P92" i="3"/>
  <c r="M92" i="3"/>
  <c r="J92" i="3"/>
  <c r="G92" i="3"/>
  <c r="P91" i="3"/>
  <c r="M91" i="3"/>
  <c r="J91" i="3"/>
  <c r="G91" i="3"/>
  <c r="P90" i="3"/>
  <c r="M90" i="3"/>
  <c r="J90" i="3"/>
  <c r="G90" i="3"/>
  <c r="P89" i="3"/>
  <c r="M89" i="3"/>
  <c r="J89" i="3"/>
  <c r="G89" i="3"/>
  <c r="P88" i="3"/>
  <c r="M88" i="3"/>
  <c r="J88" i="3"/>
  <c r="G88" i="3"/>
  <c r="S87" i="3"/>
  <c r="P87" i="3"/>
  <c r="M87" i="3"/>
  <c r="J87" i="3"/>
  <c r="G87" i="3"/>
  <c r="R65" i="3"/>
  <c r="O65" i="3"/>
  <c r="L65" i="3"/>
  <c r="I65" i="3"/>
  <c r="E65" i="3"/>
  <c r="D65" i="3"/>
  <c r="R64" i="3"/>
  <c r="O64" i="3"/>
  <c r="L64" i="3"/>
  <c r="I64" i="3"/>
  <c r="E64" i="3"/>
  <c r="D64" i="3"/>
  <c r="R63" i="3"/>
  <c r="O63" i="3"/>
  <c r="L63" i="3"/>
  <c r="I63" i="3"/>
  <c r="E63" i="3"/>
  <c r="D63" i="3"/>
  <c r="R62" i="3"/>
  <c r="O62" i="3"/>
  <c r="L62" i="3"/>
  <c r="I62" i="3"/>
  <c r="E62" i="3"/>
  <c r="D62" i="3"/>
  <c r="R61" i="3"/>
  <c r="O61" i="3"/>
  <c r="L61" i="3"/>
  <c r="I61" i="3"/>
  <c r="E61" i="3"/>
  <c r="D61" i="3"/>
  <c r="R60" i="3"/>
  <c r="O60" i="3"/>
  <c r="L60" i="3"/>
  <c r="I60" i="3"/>
  <c r="E60" i="3"/>
  <c r="D60" i="3"/>
  <c r="R59" i="3"/>
  <c r="O59" i="3"/>
  <c r="L59" i="3"/>
  <c r="I59" i="3"/>
  <c r="E59" i="3"/>
  <c r="D59" i="3"/>
  <c r="R58" i="3"/>
  <c r="O58" i="3"/>
  <c r="L58" i="3"/>
  <c r="I58" i="3"/>
  <c r="E58" i="3"/>
  <c r="D58" i="3"/>
  <c r="R57" i="3"/>
  <c r="O57" i="3"/>
  <c r="L57" i="3"/>
  <c r="I57" i="3"/>
  <c r="E57" i="3"/>
  <c r="D57" i="3"/>
  <c r="S56" i="3"/>
  <c r="R56" i="3"/>
  <c r="O56" i="3"/>
  <c r="L56" i="3"/>
  <c r="I56" i="3"/>
  <c r="E56" i="3"/>
  <c r="D56" i="3"/>
  <c r="S46" i="3"/>
  <c r="R45" i="3"/>
  <c r="O45" i="3"/>
  <c r="L45" i="3"/>
  <c r="I45" i="3"/>
  <c r="R44" i="3"/>
  <c r="O44" i="3"/>
  <c r="L44" i="3"/>
  <c r="I44" i="3"/>
  <c r="R43" i="3"/>
  <c r="O43" i="3"/>
  <c r="L43" i="3"/>
  <c r="I43" i="3"/>
  <c r="R42" i="3"/>
  <c r="O42" i="3"/>
  <c r="L42" i="3"/>
  <c r="I42" i="3"/>
  <c r="R41" i="3"/>
  <c r="O41" i="3"/>
  <c r="L41" i="3"/>
  <c r="I41" i="3"/>
  <c r="R40" i="3"/>
  <c r="O40" i="3"/>
  <c r="L40" i="3"/>
  <c r="I40" i="3"/>
  <c r="R39" i="3"/>
  <c r="O39" i="3"/>
  <c r="L39" i="3"/>
  <c r="I39" i="3"/>
  <c r="R38" i="3"/>
  <c r="O38" i="3"/>
  <c r="L38" i="3"/>
  <c r="I38" i="3"/>
  <c r="R37" i="3"/>
  <c r="O37" i="3"/>
  <c r="L37" i="3"/>
  <c r="I37" i="3"/>
  <c r="R36" i="3"/>
  <c r="O36" i="3"/>
  <c r="L36" i="3"/>
  <c r="I36" i="3"/>
  <c r="P136" i="3"/>
  <c r="O35" i="3"/>
  <c r="M136" i="3"/>
  <c r="J136" i="3"/>
  <c r="I35" i="3"/>
  <c r="G136" i="3"/>
  <c r="R34" i="3"/>
  <c r="O34" i="3"/>
  <c r="M135" i="3"/>
  <c r="J135" i="3"/>
  <c r="I34" i="3"/>
  <c r="G135" i="3"/>
  <c r="P134" i="3"/>
  <c r="O33" i="3"/>
  <c r="M134" i="3"/>
  <c r="L33" i="3"/>
  <c r="I33" i="3"/>
  <c r="G134" i="3"/>
  <c r="R32" i="3"/>
  <c r="O32" i="3"/>
  <c r="M133" i="3"/>
  <c r="J133" i="3"/>
  <c r="I32" i="3"/>
  <c r="G133" i="3"/>
  <c r="R31" i="3"/>
  <c r="O31" i="3"/>
  <c r="M132" i="3"/>
  <c r="J132" i="3"/>
  <c r="I31" i="3"/>
  <c r="G132" i="3"/>
  <c r="P131" i="3"/>
  <c r="O30" i="3"/>
  <c r="M131" i="3"/>
  <c r="L30" i="3"/>
  <c r="I30" i="3"/>
  <c r="G131" i="3"/>
  <c r="P130" i="3"/>
  <c r="O29" i="3"/>
  <c r="M130" i="3"/>
  <c r="L29" i="3"/>
  <c r="I29" i="3"/>
  <c r="G130" i="3"/>
  <c r="O28" i="3"/>
  <c r="M129" i="3"/>
  <c r="I28" i="3"/>
  <c r="G129" i="3"/>
  <c r="P128" i="3"/>
  <c r="L27" i="3"/>
  <c r="K128" i="3"/>
  <c r="J128" i="3"/>
  <c r="H128" i="3"/>
  <c r="G128" i="3"/>
  <c r="P127" i="3"/>
  <c r="L26" i="3"/>
  <c r="K127" i="3"/>
  <c r="J127" i="3"/>
  <c r="I26" i="3"/>
  <c r="H127" i="3"/>
  <c r="G127" i="3"/>
  <c r="D15" i="3"/>
  <c r="D14" i="3"/>
  <c r="D13" i="3"/>
  <c r="D12" i="3"/>
  <c r="D11" i="3"/>
  <c r="D10" i="3"/>
  <c r="D9" i="3"/>
  <c r="D8" i="3"/>
  <c r="R7" i="3"/>
  <c r="O7" i="3"/>
  <c r="L7" i="3"/>
  <c r="I7" i="3"/>
  <c r="E7" i="3"/>
  <c r="D7" i="3"/>
  <c r="R6" i="3"/>
  <c r="O6" i="3"/>
  <c r="L6" i="3"/>
  <c r="I6" i="3"/>
  <c r="E6" i="3"/>
  <c r="D6" i="3"/>
  <c r="N14" i="6"/>
  <c r="K14" i="6"/>
  <c r="E12" i="6"/>
  <c r="E11" i="6"/>
  <c r="E10" i="6"/>
  <c r="E8" i="6"/>
  <c r="B6" i="6"/>
  <c r="W5" i="6"/>
  <c r="W4" i="6"/>
  <c r="E4" i="6"/>
  <c r="H14" i="4"/>
  <c r="F14" i="4"/>
  <c r="E14" i="4"/>
  <c r="G13" i="4"/>
  <c r="G12" i="4"/>
  <c r="G11" i="4"/>
  <c r="G10" i="4"/>
  <c r="G9" i="4"/>
  <c r="G8" i="4"/>
  <c r="G7" i="4"/>
  <c r="G6" i="4"/>
  <c r="G5" i="4"/>
  <c r="G4" i="4"/>
  <c r="T14" i="20"/>
  <c r="H14" i="20"/>
  <c r="G14" i="20"/>
  <c r="F14" i="20"/>
  <c r="E14" i="20"/>
  <c r="D14" i="20"/>
  <c r="G12" i="20"/>
  <c r="F12" i="20"/>
  <c r="E12" i="20"/>
  <c r="D12" i="20"/>
  <c r="H11" i="20"/>
  <c r="G11" i="20"/>
  <c r="F11" i="20"/>
  <c r="E11" i="20"/>
  <c r="D11" i="20"/>
  <c r="G8" i="20"/>
  <c r="F8" i="20"/>
  <c r="E8" i="20"/>
  <c r="H7" i="20"/>
  <c r="G7" i="20"/>
  <c r="F7" i="20"/>
  <c r="E7" i="20"/>
  <c r="D7" i="20"/>
  <c r="G2" i="20"/>
  <c r="F2" i="20"/>
  <c r="E2" i="20"/>
  <c r="D2" i="20"/>
  <c r="J12" i="11" l="1"/>
  <c r="J41" i="11" s="1"/>
  <c r="F3" i="10"/>
  <c r="F11" i="11"/>
  <c r="F40" i="11" s="1"/>
  <c r="H7" i="11"/>
  <c r="AJ80" i="19"/>
  <c r="AG88" i="19"/>
  <c r="AX62" i="19"/>
  <c r="AQ62" i="19"/>
  <c r="AX64" i="19"/>
  <c r="AQ64" i="19"/>
  <c r="AG73" i="19"/>
  <c r="AX67" i="19"/>
  <c r="AQ67" i="19"/>
  <c r="AX69" i="19"/>
  <c r="AQ69" i="19"/>
  <c r="AQ71" i="19"/>
  <c r="AX71" i="19"/>
  <c r="AG79" i="19"/>
  <c r="AX77" i="19"/>
  <c r="AQ77" i="19"/>
  <c r="AX80" i="19"/>
  <c r="AQ80" i="19"/>
  <c r="AX82" i="19"/>
  <c r="AQ82" i="19"/>
  <c r="AQ84" i="19"/>
  <c r="AX84" i="19"/>
  <c r="AX61" i="19"/>
  <c r="AQ61" i="19"/>
  <c r="AG66" i="19"/>
  <c r="AX63" i="19"/>
  <c r="AQ63" i="19"/>
  <c r="AQ65" i="19"/>
  <c r="AX65" i="19"/>
  <c r="AQ68" i="19"/>
  <c r="AX68" i="19"/>
  <c r="AX70" i="19"/>
  <c r="AQ70" i="19"/>
  <c r="AQ72" i="19"/>
  <c r="AX72" i="19"/>
  <c r="AQ78" i="19"/>
  <c r="AX78" i="19"/>
  <c r="AX81" i="19"/>
  <c r="AQ81" i="19"/>
  <c r="AX83" i="19"/>
  <c r="AQ83" i="19"/>
  <c r="F60" i="3"/>
  <c r="F64" i="3"/>
  <c r="E3" i="17"/>
  <c r="H12" i="11"/>
  <c r="H41" i="11" s="1"/>
  <c r="F13" i="11"/>
  <c r="F42" i="11" s="1"/>
  <c r="D13" i="11"/>
  <c r="D42" i="11" s="1"/>
  <c r="L13" i="11"/>
  <c r="L42" i="11" s="1"/>
  <c r="F25" i="27"/>
  <c r="E14" i="6"/>
  <c r="I12" i="11"/>
  <c r="I41" i="11" s="1"/>
  <c r="G12" i="11"/>
  <c r="G41" i="11" s="1"/>
  <c r="E13" i="11"/>
  <c r="E42" i="11" s="1"/>
  <c r="M13" i="11"/>
  <c r="M42" i="11" s="1"/>
  <c r="H28" i="11"/>
  <c r="G28" i="11"/>
  <c r="H14" i="6"/>
  <c r="C25" i="11"/>
  <c r="AI73" i="26"/>
  <c r="AI118" i="26"/>
  <c r="AP119" i="26"/>
  <c r="AG119" i="26"/>
  <c r="AH119" i="26"/>
  <c r="AI87" i="26"/>
  <c r="AI88" i="26"/>
  <c r="J28" i="11"/>
  <c r="I28" i="11"/>
  <c r="B7" i="6"/>
  <c r="B14" i="6" s="1"/>
  <c r="C27" i="11"/>
  <c r="K28" i="11"/>
  <c r="E28" i="11"/>
  <c r="M28" i="11"/>
  <c r="D28" i="11"/>
  <c r="L28" i="11"/>
  <c r="F28" i="11"/>
  <c r="I7" i="11"/>
  <c r="I36" i="11" s="1"/>
  <c r="G14" i="11"/>
  <c r="G43" i="11" s="1"/>
  <c r="P14" i="20"/>
  <c r="G175" i="9"/>
  <c r="Q14" i="20"/>
  <c r="H175" i="9"/>
  <c r="R14" i="20"/>
  <c r="I175" i="9"/>
  <c r="D11" i="11"/>
  <c r="D40" i="11" s="1"/>
  <c r="L11" i="11"/>
  <c r="L40" i="11" s="1"/>
  <c r="S14" i="20"/>
  <c r="J175" i="9"/>
  <c r="E8" i="11"/>
  <c r="E37" i="11" s="1"/>
  <c r="M8" i="11"/>
  <c r="M37" i="11" s="1"/>
  <c r="M14" i="11"/>
  <c r="M43" i="11" s="1"/>
  <c r="Q8" i="20"/>
  <c r="G86" i="10"/>
  <c r="R8" i="20"/>
  <c r="H86" i="10"/>
  <c r="G7" i="11"/>
  <c r="G36" i="11" s="1"/>
  <c r="D8" i="11"/>
  <c r="D37" i="11" s="1"/>
  <c r="L8" i="11"/>
  <c r="L37" i="11" s="1"/>
  <c r="I8" i="11"/>
  <c r="I37" i="11" s="1"/>
  <c r="I14" i="11"/>
  <c r="O9" i="6" s="1"/>
  <c r="P9" i="6" s="1"/>
  <c r="H11" i="11"/>
  <c r="H40" i="11" s="1"/>
  <c r="D93" i="3"/>
  <c r="R138" i="3"/>
  <c r="E12" i="11"/>
  <c r="E41" i="11" s="1"/>
  <c r="M12" i="11"/>
  <c r="M41" i="11" s="1"/>
  <c r="K12" i="11"/>
  <c r="K41" i="11" s="1"/>
  <c r="K13" i="11"/>
  <c r="K42" i="11" s="1"/>
  <c r="I13" i="11"/>
  <c r="I42" i="11" s="1"/>
  <c r="J13" i="11"/>
  <c r="J42" i="11" s="1"/>
  <c r="F12" i="11"/>
  <c r="F41" i="11" s="1"/>
  <c r="L12" i="11"/>
  <c r="L41" i="11" s="1"/>
  <c r="J7" i="11"/>
  <c r="J36" i="11" s="1"/>
  <c r="H8" i="11"/>
  <c r="H37" i="11" s="1"/>
  <c r="H14" i="11"/>
  <c r="H43" i="11" s="1"/>
  <c r="G11" i="11"/>
  <c r="L7" i="6" s="1"/>
  <c r="M7" i="6" s="1"/>
  <c r="E7" i="11"/>
  <c r="M7" i="11"/>
  <c r="M36" i="11" s="1"/>
  <c r="J8" i="11"/>
  <c r="J37" i="11" s="1"/>
  <c r="J14" i="11"/>
  <c r="J43" i="11" s="1"/>
  <c r="I11" i="11"/>
  <c r="I40" i="11" s="1"/>
  <c r="F7" i="11"/>
  <c r="F36" i="11" s="1"/>
  <c r="L137" i="3"/>
  <c r="F61" i="3"/>
  <c r="F65" i="3"/>
  <c r="D94" i="3"/>
  <c r="I137" i="3"/>
  <c r="D88" i="3"/>
  <c r="D92" i="3"/>
  <c r="F58" i="3"/>
  <c r="F62" i="3"/>
  <c r="D89" i="3"/>
  <c r="F56" i="3"/>
  <c r="G13" i="11"/>
  <c r="G42" i="11" s="1"/>
  <c r="H13" i="11"/>
  <c r="H42" i="11" s="1"/>
  <c r="F14" i="11"/>
  <c r="O6" i="6" s="1"/>
  <c r="P6" i="6" s="1"/>
  <c r="E11" i="11"/>
  <c r="E40" i="11" s="1"/>
  <c r="M11" i="11"/>
  <c r="M40" i="11" s="1"/>
  <c r="K14" i="11"/>
  <c r="K43" i="11" s="1"/>
  <c r="J11" i="11"/>
  <c r="J40" i="11" s="1"/>
  <c r="L14" i="11"/>
  <c r="L43" i="11" s="1"/>
  <c r="K11" i="11"/>
  <c r="K40" i="11" s="1"/>
  <c r="K8" i="11"/>
  <c r="K37" i="11" s="1"/>
  <c r="O13" i="6"/>
  <c r="P13" i="6" s="1"/>
  <c r="F8" i="11"/>
  <c r="F37" i="11" s="1"/>
  <c r="G8" i="11"/>
  <c r="G37" i="11" s="1"/>
  <c r="J9" i="11"/>
  <c r="J38" i="11" s="1"/>
  <c r="K9" i="11"/>
  <c r="K38" i="11" s="1"/>
  <c r="F9" i="11"/>
  <c r="F38" i="11" s="1"/>
  <c r="L9" i="11"/>
  <c r="L38" i="11" s="1"/>
  <c r="M9" i="11"/>
  <c r="M38" i="11" s="1"/>
  <c r="G9" i="11"/>
  <c r="G38" i="11" s="1"/>
  <c r="D7" i="11"/>
  <c r="L7" i="11"/>
  <c r="F12" i="6" s="1"/>
  <c r="G12" i="6" s="1"/>
  <c r="K7" i="11"/>
  <c r="K36" i="11" s="1"/>
  <c r="I9" i="11"/>
  <c r="I38" i="11" s="1"/>
  <c r="H9" i="11"/>
  <c r="H38" i="11" s="1"/>
  <c r="AK69" i="19"/>
  <c r="AK77" i="19"/>
  <c r="AK78" i="19"/>
  <c r="AK80" i="19"/>
  <c r="AK84" i="19"/>
  <c r="AK82" i="19"/>
  <c r="AK65" i="19"/>
  <c r="AK70" i="19"/>
  <c r="AK67" i="19"/>
  <c r="AK63" i="19"/>
  <c r="AK68" i="19"/>
  <c r="AK72" i="19"/>
  <c r="AK64" i="19"/>
  <c r="AK61" i="19"/>
  <c r="AK83" i="19"/>
  <c r="AK62" i="19"/>
  <c r="AK71" i="19"/>
  <c r="AK81" i="19"/>
  <c r="I14" i="20"/>
  <c r="F57" i="9"/>
  <c r="L6" i="6"/>
  <c r="M6" i="6" s="1"/>
  <c r="F150" i="9"/>
  <c r="F175" i="9" s="1"/>
  <c r="R11" i="20"/>
  <c r="R7" i="20"/>
  <c r="F4" i="9"/>
  <c r="I12" i="20"/>
  <c r="U12" i="20"/>
  <c r="I7" i="20"/>
  <c r="I11" i="20"/>
  <c r="E34" i="10"/>
  <c r="G14" i="4"/>
  <c r="U18" i="20" s="1"/>
  <c r="F59" i="3"/>
  <c r="F63" i="3"/>
  <c r="F57" i="3"/>
  <c r="R137" i="3"/>
  <c r="D142" i="3"/>
  <c r="B9" i="4" s="1"/>
  <c r="Q9" i="4" s="1"/>
  <c r="D139" i="3"/>
  <c r="B6" i="4" s="1"/>
  <c r="Q6" i="4" s="1"/>
  <c r="I138" i="3"/>
  <c r="D140" i="3"/>
  <c r="B7" i="4" s="1"/>
  <c r="Q7" i="4" s="1"/>
  <c r="D141" i="3"/>
  <c r="B8" i="4" s="1"/>
  <c r="Q8" i="4" s="1"/>
  <c r="D143" i="3"/>
  <c r="B10" i="4" s="1"/>
  <c r="Q10" i="4" s="1"/>
  <c r="D144" i="3"/>
  <c r="B11" i="4" s="1"/>
  <c r="Q11" i="4" s="1"/>
  <c r="D145" i="3"/>
  <c r="B12" i="4" s="1"/>
  <c r="Q12" i="4" s="1"/>
  <c r="D95" i="3"/>
  <c r="F7" i="3"/>
  <c r="F6" i="3"/>
  <c r="O137" i="3"/>
  <c r="O138" i="3"/>
  <c r="D96" i="3"/>
  <c r="E137" i="3"/>
  <c r="C4" i="4" s="1"/>
  <c r="R4" i="4" s="1"/>
  <c r="D138" i="3"/>
  <c r="B5" i="4" s="1"/>
  <c r="Q5" i="4" s="1"/>
  <c r="D87" i="3"/>
  <c r="D91" i="3"/>
  <c r="E138" i="3"/>
  <c r="C5" i="4" s="1"/>
  <c r="R5" i="4" s="1"/>
  <c r="D90" i="3"/>
  <c r="D136" i="3"/>
  <c r="Q13" i="6" s="1"/>
  <c r="T13" i="6" s="1"/>
  <c r="L128" i="3"/>
  <c r="G15" i="4"/>
  <c r="I18" i="20" s="1"/>
  <c r="I127" i="3"/>
  <c r="Q127" i="3"/>
  <c r="R127" i="3" s="1"/>
  <c r="R26" i="3"/>
  <c r="J129" i="3"/>
  <c r="L28" i="3"/>
  <c r="M127" i="3"/>
  <c r="D127" i="3" s="1"/>
  <c r="Q4" i="6" s="1"/>
  <c r="Q128" i="3"/>
  <c r="R128" i="3" s="1"/>
  <c r="R27" i="3"/>
  <c r="I128" i="3"/>
  <c r="L127" i="3"/>
  <c r="I27" i="3"/>
  <c r="M128" i="3"/>
  <c r="D128" i="3" s="1"/>
  <c r="Q5" i="6" s="1"/>
  <c r="T5" i="6" s="1"/>
  <c r="R28" i="3"/>
  <c r="P129" i="3"/>
  <c r="J131" i="3"/>
  <c r="P133" i="3"/>
  <c r="D133" i="3" s="1"/>
  <c r="J130" i="3"/>
  <c r="D130" i="3" s="1"/>
  <c r="Q7" i="6" s="1"/>
  <c r="P132" i="3"/>
  <c r="J134" i="3"/>
  <c r="P135" i="3"/>
  <c r="D135" i="3" s="1"/>
  <c r="Q12" i="6" s="1"/>
  <c r="T12" i="6" s="1"/>
  <c r="R29" i="3"/>
  <c r="R30" i="3"/>
  <c r="L31" i="3"/>
  <c r="L32" i="3"/>
  <c r="R33" i="3"/>
  <c r="L34" i="3"/>
  <c r="L35" i="3"/>
  <c r="R35" i="3"/>
  <c r="D146" i="3"/>
  <c r="B13" i="4" s="1"/>
  <c r="Q13" i="4" s="1"/>
  <c r="L138" i="3"/>
  <c r="AI6" i="26"/>
  <c r="D137" i="3"/>
  <c r="B4" i="4" s="1"/>
  <c r="C23" i="11"/>
  <c r="H36" i="11"/>
  <c r="P7" i="20"/>
  <c r="T7" i="20"/>
  <c r="P11" i="20"/>
  <c r="T11" i="20"/>
  <c r="K87" i="3"/>
  <c r="N87" i="3"/>
  <c r="H87" i="3"/>
  <c r="H88" i="3"/>
  <c r="Q87" i="3"/>
  <c r="Q88" i="3"/>
  <c r="N88" i="3"/>
  <c r="K88" i="3"/>
  <c r="F86" i="10" l="1"/>
  <c r="P8" i="20"/>
  <c r="U8" i="20" s="1"/>
  <c r="E4" i="10"/>
  <c r="D8" i="20"/>
  <c r="I8" i="20" s="1"/>
  <c r="L4" i="6"/>
  <c r="M4" i="6" s="1"/>
  <c r="BI82" i="19"/>
  <c r="BH84" i="19"/>
  <c r="O87" i="3"/>
  <c r="N117" i="3" s="1"/>
  <c r="O117" i="3" s="1"/>
  <c r="L12" i="6"/>
  <c r="M12" i="6" s="1"/>
  <c r="U14" i="20"/>
  <c r="C8" i="6"/>
  <c r="D8" i="6" s="1"/>
  <c r="O7" i="6"/>
  <c r="P7" i="6" s="1"/>
  <c r="D36" i="11"/>
  <c r="E36" i="11"/>
  <c r="F137" i="3"/>
  <c r="AI119" i="26"/>
  <c r="C28" i="11"/>
  <c r="T7" i="6"/>
  <c r="B7" i="2" s="1"/>
  <c r="F6" i="6"/>
  <c r="G6" i="6" s="1"/>
  <c r="E175" i="9"/>
  <c r="F4" i="6"/>
  <c r="G4" i="6" s="1"/>
  <c r="F8" i="6"/>
  <c r="G8" i="6" s="1"/>
  <c r="I43" i="11"/>
  <c r="C9" i="6"/>
  <c r="D9" i="6" s="1"/>
  <c r="C7" i="6"/>
  <c r="D7" i="6" s="1"/>
  <c r="C5" i="6"/>
  <c r="D5" i="6" s="1"/>
  <c r="C11" i="6"/>
  <c r="D11" i="6" s="1"/>
  <c r="C42" i="11"/>
  <c r="C10" i="6"/>
  <c r="D10" i="6" s="1"/>
  <c r="G40" i="11"/>
  <c r="C40" i="11" s="1"/>
  <c r="L9" i="6"/>
  <c r="M9" i="6" s="1"/>
  <c r="L8" i="6"/>
  <c r="M8" i="6" s="1"/>
  <c r="F43" i="11"/>
  <c r="F5" i="6"/>
  <c r="G5" i="6" s="1"/>
  <c r="F9" i="6"/>
  <c r="G9" i="6" s="1"/>
  <c r="C13" i="11"/>
  <c r="C12" i="6"/>
  <c r="D12" i="6" s="1"/>
  <c r="C6" i="6"/>
  <c r="D6" i="6" s="1"/>
  <c r="C13" i="6"/>
  <c r="D13" i="6" s="1"/>
  <c r="O8" i="6"/>
  <c r="P8" i="6" s="1"/>
  <c r="O11" i="6"/>
  <c r="P11" i="6" s="1"/>
  <c r="O10" i="6"/>
  <c r="P10" i="6" s="1"/>
  <c r="C11" i="11"/>
  <c r="F11" i="6"/>
  <c r="G11" i="6" s="1"/>
  <c r="F13" i="6"/>
  <c r="G13" i="6" s="1"/>
  <c r="F10" i="6"/>
  <c r="G10" i="6" s="1"/>
  <c r="C37" i="11"/>
  <c r="C7" i="11"/>
  <c r="L36" i="11"/>
  <c r="L10" i="6"/>
  <c r="M10" i="6" s="1"/>
  <c r="D131" i="3"/>
  <c r="Q8" i="6" s="1"/>
  <c r="T8" i="6" s="1"/>
  <c r="B8" i="2" s="1"/>
  <c r="D4" i="4"/>
  <c r="S5" i="4"/>
  <c r="L11" i="6"/>
  <c r="M11" i="6" s="1"/>
  <c r="L5" i="6"/>
  <c r="M5" i="6" s="1"/>
  <c r="O12" i="6"/>
  <c r="P12" i="6" s="1"/>
  <c r="L13" i="6"/>
  <c r="M13" i="6" s="1"/>
  <c r="C8" i="11"/>
  <c r="F7" i="6"/>
  <c r="G7" i="6" s="1"/>
  <c r="U11" i="20"/>
  <c r="D5" i="4"/>
  <c r="B13" i="2"/>
  <c r="D134" i="3"/>
  <c r="Q11" i="6" s="1"/>
  <c r="T11" i="6" s="1"/>
  <c r="B11" i="2" s="1"/>
  <c r="Q10" i="6"/>
  <c r="B12" i="2"/>
  <c r="B5" i="2"/>
  <c r="D129" i="3"/>
  <c r="N127" i="3"/>
  <c r="O26" i="3"/>
  <c r="D132" i="3"/>
  <c r="Q9" i="6" s="1"/>
  <c r="T9" i="6" s="1"/>
  <c r="F138" i="3"/>
  <c r="U7" i="20"/>
  <c r="B14" i="4"/>
  <c r="Q4" i="4"/>
  <c r="N128" i="3"/>
  <c r="O27" i="3"/>
  <c r="T4" i="6"/>
  <c r="L87" i="3"/>
  <c r="K117" i="3" s="1"/>
  <c r="L117" i="3" s="1"/>
  <c r="R88" i="3"/>
  <c r="Q118" i="3" s="1"/>
  <c r="R118" i="3" s="1"/>
  <c r="I87" i="3"/>
  <c r="E87" i="3"/>
  <c r="L88" i="3"/>
  <c r="K118" i="3" s="1"/>
  <c r="L118" i="3" s="1"/>
  <c r="R87" i="3"/>
  <c r="Q117" i="3" s="1"/>
  <c r="R117" i="3" s="1"/>
  <c r="O88" i="3"/>
  <c r="N118" i="3" s="1"/>
  <c r="O118" i="3" s="1"/>
  <c r="I88" i="3"/>
  <c r="E88" i="3"/>
  <c r="E86" i="10" l="1"/>
  <c r="E3" i="10"/>
  <c r="F26" i="27" s="1"/>
  <c r="D12" i="11"/>
  <c r="J25" i="9"/>
  <c r="J3" i="9" s="1"/>
  <c r="J172" i="9" s="1"/>
  <c r="G6" i="20"/>
  <c r="G5" i="20" s="1"/>
  <c r="I25" i="9"/>
  <c r="F6" i="20"/>
  <c r="F5" i="20" s="1"/>
  <c r="H25" i="9"/>
  <c r="E6" i="20"/>
  <c r="C36" i="11"/>
  <c r="M15" i="6"/>
  <c r="F14" i="6"/>
  <c r="M14" i="6"/>
  <c r="L14" i="6"/>
  <c r="Q14" i="4"/>
  <c r="B4" i="2"/>
  <c r="O127" i="3"/>
  <c r="E127" i="3"/>
  <c r="O128" i="3"/>
  <c r="E128" i="3"/>
  <c r="T10" i="6"/>
  <c r="S4" i="4"/>
  <c r="B9" i="2"/>
  <c r="Q6" i="6"/>
  <c r="F88" i="3"/>
  <c r="H118" i="3"/>
  <c r="G15" i="6"/>
  <c r="G14" i="6"/>
  <c r="H117" i="3"/>
  <c r="F87" i="3"/>
  <c r="D41" i="11" l="1"/>
  <c r="C41" i="11" s="1"/>
  <c r="C4" i="6"/>
  <c r="C12" i="11"/>
  <c r="S6" i="20"/>
  <c r="S5" i="20" s="1"/>
  <c r="E5" i="20"/>
  <c r="R6" i="20"/>
  <c r="R5" i="20" s="1"/>
  <c r="I3" i="9"/>
  <c r="I172" i="9" s="1"/>
  <c r="Q6" i="20"/>
  <c r="H3" i="9"/>
  <c r="H172" i="9" s="1"/>
  <c r="B10" i="2"/>
  <c r="T6" i="6"/>
  <c r="Q14" i="6"/>
  <c r="F128" i="3"/>
  <c r="R5" i="6"/>
  <c r="F127" i="3"/>
  <c r="R4" i="6"/>
  <c r="E118" i="3"/>
  <c r="I5" i="4" s="1"/>
  <c r="I118" i="3"/>
  <c r="F118" i="3" s="1"/>
  <c r="I117" i="3"/>
  <c r="E117" i="3"/>
  <c r="I4" i="4" s="1"/>
  <c r="D4" i="6" l="1"/>
  <c r="C14" i="6"/>
  <c r="Q5" i="20"/>
  <c r="S4" i="6"/>
  <c r="B6" i="2"/>
  <c r="T14" i="6"/>
  <c r="S5" i="6"/>
  <c r="J4" i="4"/>
  <c r="F117" i="3"/>
  <c r="J5" i="4"/>
  <c r="D15" i="6" l="1"/>
  <c r="D14" i="6"/>
  <c r="B14" i="2"/>
  <c r="AI95" i="33" l="1"/>
  <c r="AH16" i="24" l="1"/>
  <c r="AH95" i="33"/>
  <c r="AG16" i="24" s="1"/>
  <c r="AJ95" i="33"/>
  <c r="AI16" i="24" l="1"/>
  <c r="AG193" i="33"/>
  <c r="AJ193" i="33"/>
  <c r="AI23" i="24" s="1"/>
  <c r="AI193" i="33"/>
  <c r="AH193" i="33"/>
  <c r="AG23" i="24" s="1"/>
  <c r="AH439" i="33"/>
  <c r="AG48" i="24" s="1"/>
  <c r="AJ439" i="33"/>
  <c r="AI48" i="24" s="1"/>
  <c r="AI439" i="33"/>
  <c r="AH48" i="24" s="1"/>
  <c r="AG439" i="33"/>
  <c r="AF48" i="24" s="1"/>
  <c r="AF23" i="24" l="1"/>
  <c r="AH23" i="24"/>
  <c r="AI94" i="33"/>
  <c r="AJ94" i="33"/>
  <c r="D46" i="24"/>
  <c r="AC46" i="24"/>
  <c r="T46" i="24"/>
  <c r="Z46" i="24"/>
  <c r="Y46" i="24"/>
  <c r="Q46" i="24"/>
  <c r="AB46" i="24"/>
  <c r="R46" i="24"/>
  <c r="U46" i="24"/>
  <c r="P46" i="24"/>
  <c r="E46" i="24"/>
  <c r="W46" i="24"/>
  <c r="AA46" i="24"/>
  <c r="M46" i="24"/>
  <c r="F46" i="24"/>
  <c r="X46" i="24"/>
  <c r="G46" i="24"/>
  <c r="V46" i="24"/>
  <c r="S46" i="24"/>
  <c r="AH94" i="33"/>
  <c r="AG15" i="24"/>
  <c r="AG94" i="33"/>
  <c r="AF15" i="24"/>
  <c r="E424" i="33"/>
  <c r="R424" i="33"/>
  <c r="X424" i="33"/>
  <c r="S424" i="33"/>
  <c r="AA424" i="33"/>
  <c r="G424" i="33"/>
  <c r="Q424" i="33"/>
  <c r="V424" i="33"/>
  <c r="P424" i="33"/>
  <c r="D424" i="33"/>
  <c r="F424" i="33"/>
  <c r="U424" i="33"/>
  <c r="W424" i="33"/>
  <c r="Y424" i="33"/>
  <c r="AB424" i="33"/>
  <c r="Z424" i="33"/>
  <c r="M424" i="33"/>
  <c r="T424" i="33"/>
  <c r="AC424" i="33"/>
  <c r="AC15" i="24" l="1"/>
  <c r="L15" i="24"/>
  <c r="X15" i="24"/>
  <c r="AA15" i="24"/>
  <c r="U15" i="24"/>
  <c r="Y15" i="24"/>
  <c r="S15" i="24"/>
  <c r="W15" i="24"/>
  <c r="Z15" i="24"/>
  <c r="F15" i="24"/>
  <c r="M15" i="24"/>
  <c r="P15" i="24"/>
  <c r="T15" i="24"/>
  <c r="E15" i="24"/>
  <c r="V15" i="24"/>
  <c r="AB15" i="24"/>
  <c r="Q15" i="24"/>
  <c r="G15" i="24"/>
  <c r="D15" i="24"/>
  <c r="R15" i="24"/>
  <c r="N15" i="24"/>
  <c r="V94" i="33"/>
  <c r="AB94" i="33"/>
  <c r="Q94" i="33"/>
  <c r="AC94" i="33"/>
  <c r="W94" i="33"/>
  <c r="Y94" i="33"/>
  <c r="L94" i="33"/>
  <c r="D94" i="33"/>
  <c r="AA94" i="33"/>
  <c r="G94" i="33"/>
  <c r="N94" i="33"/>
  <c r="X94" i="33"/>
  <c r="M94" i="33"/>
  <c r="F94" i="33"/>
  <c r="R94" i="33"/>
  <c r="E94" i="33"/>
  <c r="S94" i="33"/>
  <c r="Z94" i="33"/>
  <c r="U94" i="33"/>
  <c r="P94" i="33"/>
  <c r="T94" i="33"/>
  <c r="BE80" i="19" l="1"/>
  <c r="BE83" i="19" l="1"/>
  <c r="BE77" i="19"/>
  <c r="BE81" i="19"/>
  <c r="BE79" i="19"/>
  <c r="BE76" i="19"/>
  <c r="BE82" i="19"/>
  <c r="BE78" i="19"/>
  <c r="BE84" i="19"/>
  <c r="AW33" i="19" l="1"/>
  <c r="AY33" i="19" s="1"/>
  <c r="AP33" i="19"/>
  <c r="AR33" i="19" s="1"/>
  <c r="AG33" i="19"/>
  <c r="AK33" i="19"/>
  <c r="AP37" i="19"/>
  <c r="AR37" i="19" s="1"/>
  <c r="AW37" i="19"/>
  <c r="AY37" i="19" s="1"/>
  <c r="AG37" i="19"/>
  <c r="AK37" i="19"/>
  <c r="AW35" i="19"/>
  <c r="AY35" i="19" s="1"/>
  <c r="AP35" i="19"/>
  <c r="AR35" i="19" s="1"/>
  <c r="AG35" i="19"/>
  <c r="AK35" i="19"/>
  <c r="AW36" i="19"/>
  <c r="AY36" i="19" s="1"/>
  <c r="AP36" i="19"/>
  <c r="AR36" i="19" s="1"/>
  <c r="AG36" i="19"/>
  <c r="AK36" i="19"/>
  <c r="AW38" i="19"/>
  <c r="AY38" i="19" s="1"/>
  <c r="AP38" i="19"/>
  <c r="AR38" i="19" s="1"/>
  <c r="AG38" i="19"/>
  <c r="AK38" i="19"/>
  <c r="AP34" i="19"/>
  <c r="AR34" i="19" s="1"/>
  <c r="AW34" i="19"/>
  <c r="AY34" i="19" s="1"/>
  <c r="AG34" i="19"/>
  <c r="AK34" i="19"/>
  <c r="AW58" i="19" l="1"/>
  <c r="AY58" i="19" s="1"/>
  <c r="AP58" i="19"/>
  <c r="AR58" i="19" s="1"/>
  <c r="AK58" i="19"/>
  <c r="AG58" i="19"/>
  <c r="AP59" i="19"/>
  <c r="AR59" i="19" s="1"/>
  <c r="AW59" i="19"/>
  <c r="AY59" i="19" s="1"/>
  <c r="AG59" i="19"/>
  <c r="AK59" i="19"/>
  <c r="AP9" i="19"/>
  <c r="AR9" i="19" s="1"/>
  <c r="AW9" i="19"/>
  <c r="AY9" i="19" s="1"/>
  <c r="AK9" i="19"/>
  <c r="AG9" i="19"/>
  <c r="AW15" i="19"/>
  <c r="AY15" i="19" s="1"/>
  <c r="AP15" i="19"/>
  <c r="AR15" i="19" s="1"/>
  <c r="AG15" i="19"/>
  <c r="AK15" i="19"/>
  <c r="AW13" i="19"/>
  <c r="AY13" i="19" s="1"/>
  <c r="AP13" i="19"/>
  <c r="AR13" i="19" s="1"/>
  <c r="AG13" i="19"/>
  <c r="AK13" i="19"/>
  <c r="AP52" i="19"/>
  <c r="AR52" i="19" s="1"/>
  <c r="AW52" i="19"/>
  <c r="AY52" i="19" s="1"/>
  <c r="AK52" i="19"/>
  <c r="AG52" i="19"/>
  <c r="AW44" i="19"/>
  <c r="AY44" i="19" s="1"/>
  <c r="AK44" i="19"/>
  <c r="AG44" i="19"/>
  <c r="AP44" i="19"/>
  <c r="AR44" i="19" s="1"/>
  <c r="AP45" i="19"/>
  <c r="AR45" i="19" s="1"/>
  <c r="AW45" i="19"/>
  <c r="AY45" i="19" s="1"/>
  <c r="AG45" i="19"/>
  <c r="AK45" i="19"/>
  <c r="AW23" i="19"/>
  <c r="AY23" i="19" s="1"/>
  <c r="AP23" i="19"/>
  <c r="AR23" i="19" s="1"/>
  <c r="AG23" i="19"/>
  <c r="AK23" i="19"/>
  <c r="AG30" i="19"/>
  <c r="AP30" i="19"/>
  <c r="AR30" i="19" s="1"/>
  <c r="AW30" i="19"/>
  <c r="AY30" i="19" s="1"/>
  <c r="AK30" i="19"/>
  <c r="AG31" i="19"/>
  <c r="AP31" i="19"/>
  <c r="AR31" i="19" s="1"/>
  <c r="AW31" i="19"/>
  <c r="AY31" i="19" s="1"/>
  <c r="AK31" i="19"/>
  <c r="AJ34" i="19"/>
  <c r="AQ34" i="19"/>
  <c r="AX34" i="19"/>
  <c r="AW57" i="19"/>
  <c r="AY57" i="19" s="1"/>
  <c r="AP57" i="19"/>
  <c r="AR57" i="19" s="1"/>
  <c r="AK57" i="19"/>
  <c r="AG57" i="19"/>
  <c r="AP55" i="19"/>
  <c r="AR55" i="19" s="1"/>
  <c r="AW55" i="19"/>
  <c r="AY55" i="19" s="1"/>
  <c r="AG55" i="19"/>
  <c r="AK55" i="19"/>
  <c r="AW8" i="19"/>
  <c r="AY8" i="19" s="1"/>
  <c r="AP8" i="19"/>
  <c r="AR8" i="19" s="1"/>
  <c r="AK8" i="19"/>
  <c r="AG8" i="19"/>
  <c r="AQ38" i="19"/>
  <c r="AX38" i="19"/>
  <c r="AJ38" i="19"/>
  <c r="AP12" i="19"/>
  <c r="AR12" i="19" s="1"/>
  <c r="AW12" i="19"/>
  <c r="AY12" i="19" s="1"/>
  <c r="AG12" i="19"/>
  <c r="AK12" i="19"/>
  <c r="AW16" i="19"/>
  <c r="AY16" i="19" s="1"/>
  <c r="AP16" i="19"/>
  <c r="AR16" i="19" s="1"/>
  <c r="AG16" i="19"/>
  <c r="AK16" i="19"/>
  <c r="AW48" i="19"/>
  <c r="AY48" i="19" s="1"/>
  <c r="AP48" i="19"/>
  <c r="AR48" i="19" s="1"/>
  <c r="AK48" i="19"/>
  <c r="AG48" i="19"/>
  <c r="AQ36" i="19"/>
  <c r="AJ36" i="19"/>
  <c r="AX36" i="19"/>
  <c r="AX35" i="19"/>
  <c r="AQ35" i="19"/>
  <c r="AJ35" i="19"/>
  <c r="AP43" i="19"/>
  <c r="AR43" i="19" s="1"/>
  <c r="AW43" i="19"/>
  <c r="AY43" i="19" s="1"/>
  <c r="AK43" i="19"/>
  <c r="AG43" i="19"/>
  <c r="AP41" i="19"/>
  <c r="AR41" i="19" s="1"/>
  <c r="AW41" i="19"/>
  <c r="AY41" i="19" s="1"/>
  <c r="AK41" i="19"/>
  <c r="AG41" i="19"/>
  <c r="AP22" i="19"/>
  <c r="AR22" i="19" s="1"/>
  <c r="AW22" i="19"/>
  <c r="AY22" i="19" s="1"/>
  <c r="AG22" i="19"/>
  <c r="AK22" i="19"/>
  <c r="AQ37" i="19"/>
  <c r="AX37" i="19"/>
  <c r="AJ37" i="19"/>
  <c r="AJ33" i="19"/>
  <c r="AQ33" i="19"/>
  <c r="AX33" i="19"/>
  <c r="AG29" i="19"/>
  <c r="AP29" i="19"/>
  <c r="AR29" i="19" s="1"/>
  <c r="AW29" i="19"/>
  <c r="AY29" i="19" s="1"/>
  <c r="AK29" i="19"/>
  <c r="AG27" i="19"/>
  <c r="AP27" i="19"/>
  <c r="AR27" i="19" s="1"/>
  <c r="AW27" i="19"/>
  <c r="AY27" i="19" s="1"/>
  <c r="AK27" i="19"/>
  <c r="AG54" i="19"/>
  <c r="AW54" i="19"/>
  <c r="AY54" i="19" s="1"/>
  <c r="AK54" i="19"/>
  <c r="AP54" i="19"/>
  <c r="AR54" i="19" s="1"/>
  <c r="AP10" i="19"/>
  <c r="AR10" i="19" s="1"/>
  <c r="AW10" i="19"/>
  <c r="AY10" i="19" s="1"/>
  <c r="AG10" i="19"/>
  <c r="AK10" i="19"/>
  <c r="AP5" i="19"/>
  <c r="AR5" i="19" s="1"/>
  <c r="AW5" i="19"/>
  <c r="AY5" i="19" s="1"/>
  <c r="AK5" i="19"/>
  <c r="AG5" i="19"/>
  <c r="AW14" i="19"/>
  <c r="AY14" i="19" s="1"/>
  <c r="AP14" i="19"/>
  <c r="AR14" i="19" s="1"/>
  <c r="AG14" i="19"/>
  <c r="AK14" i="19"/>
  <c r="AW47" i="19"/>
  <c r="AY47" i="19" s="1"/>
  <c r="AK47" i="19"/>
  <c r="AG47" i="19"/>
  <c r="AP47" i="19"/>
  <c r="AR47" i="19" s="1"/>
  <c r="AP51" i="19"/>
  <c r="AR51" i="19" s="1"/>
  <c r="AW51" i="19"/>
  <c r="AY51" i="19" s="1"/>
  <c r="AK51" i="19"/>
  <c r="AG51" i="19"/>
  <c r="AW40" i="19"/>
  <c r="AY40" i="19" s="1"/>
  <c r="AP40" i="19"/>
  <c r="AR40" i="19" s="1"/>
  <c r="AK40" i="19"/>
  <c r="AG40" i="19"/>
  <c r="AP24" i="19"/>
  <c r="AR24" i="19" s="1"/>
  <c r="AW24" i="19"/>
  <c r="AY24" i="19" s="1"/>
  <c r="AG24" i="19"/>
  <c r="AK24" i="19"/>
  <c r="AW19" i="19"/>
  <c r="AY19" i="19" s="1"/>
  <c r="AP19" i="19"/>
  <c r="AR19" i="19" s="1"/>
  <c r="AG19" i="19"/>
  <c r="AK19" i="19"/>
  <c r="AG26" i="19"/>
  <c r="AP26" i="19"/>
  <c r="AR26" i="19" s="1"/>
  <c r="AW26" i="19"/>
  <c r="AY26" i="19" s="1"/>
  <c r="AK26" i="19"/>
  <c r="AW56" i="19"/>
  <c r="AY56" i="19" s="1"/>
  <c r="AP56" i="19"/>
  <c r="AR56" i="19" s="1"/>
  <c r="AG56" i="19"/>
  <c r="AK56" i="19"/>
  <c r="AP6" i="19"/>
  <c r="AR6" i="19" s="1"/>
  <c r="AW6" i="19"/>
  <c r="AY6" i="19" s="1"/>
  <c r="AK6" i="19"/>
  <c r="AG6" i="19"/>
  <c r="AP7" i="19"/>
  <c r="AR7" i="19" s="1"/>
  <c r="AW7" i="19"/>
  <c r="AY7" i="19" s="1"/>
  <c r="AG7" i="19"/>
  <c r="AK7" i="19"/>
  <c r="AW17" i="19"/>
  <c r="AY17" i="19" s="1"/>
  <c r="AP17" i="19"/>
  <c r="AR17" i="19" s="1"/>
  <c r="AG17" i="19"/>
  <c r="AK17" i="19"/>
  <c r="AG49" i="19"/>
  <c r="AP49" i="19"/>
  <c r="AR49" i="19" s="1"/>
  <c r="AK49" i="19"/>
  <c r="AW49" i="19"/>
  <c r="AY49" i="19" s="1"/>
  <c r="AW50" i="19"/>
  <c r="AY50" i="19" s="1"/>
  <c r="AP50" i="19"/>
  <c r="AR50" i="19" s="1"/>
  <c r="AK50" i="19"/>
  <c r="AG50" i="19"/>
  <c r="AP42" i="19"/>
  <c r="AR42" i="19" s="1"/>
  <c r="AW42" i="19"/>
  <c r="AY42" i="19" s="1"/>
  <c r="AG42" i="19"/>
  <c r="AK42" i="19"/>
  <c r="AP20" i="19"/>
  <c r="AR20" i="19" s="1"/>
  <c r="AW20" i="19"/>
  <c r="AY20" i="19" s="1"/>
  <c r="AG20" i="19"/>
  <c r="AK20" i="19"/>
  <c r="AW21" i="19"/>
  <c r="AY21" i="19" s="1"/>
  <c r="AP21" i="19"/>
  <c r="AR21" i="19" s="1"/>
  <c r="AG21" i="19"/>
  <c r="AK21" i="19"/>
  <c r="AG28" i="19"/>
  <c r="AP28" i="19"/>
  <c r="AR28" i="19" s="1"/>
  <c r="AW28" i="19"/>
  <c r="AY28" i="19" s="1"/>
  <c r="AK28" i="19"/>
  <c r="F27" i="9" l="1"/>
  <c r="AX50" i="19"/>
  <c r="AJ50" i="19"/>
  <c r="AQ50" i="19"/>
  <c r="AQ6" i="19"/>
  <c r="AJ6" i="19"/>
  <c r="AX6" i="19"/>
  <c r="AX40" i="19"/>
  <c r="AJ40" i="19"/>
  <c r="AQ40" i="19"/>
  <c r="AQ51" i="19"/>
  <c r="AJ51" i="19"/>
  <c r="AX51" i="19"/>
  <c r="AG60" i="19"/>
  <c r="AQ5" i="19"/>
  <c r="AX5" i="19"/>
  <c r="AJ5" i="19"/>
  <c r="AX48" i="19"/>
  <c r="AQ48" i="19"/>
  <c r="AJ48" i="19"/>
  <c r="AX55" i="19"/>
  <c r="AJ55" i="19"/>
  <c r="AQ55" i="19"/>
  <c r="AJ59" i="19"/>
  <c r="AQ59" i="19"/>
  <c r="AX59" i="19"/>
  <c r="AJ21" i="19"/>
  <c r="AX21" i="19"/>
  <c r="AQ21" i="19"/>
  <c r="AX20" i="19"/>
  <c r="AJ20" i="19"/>
  <c r="AQ20" i="19"/>
  <c r="AX42" i="19"/>
  <c r="AQ42" i="19"/>
  <c r="AJ42" i="19"/>
  <c r="AQ17" i="19"/>
  <c r="AX17" i="19"/>
  <c r="AJ17" i="19"/>
  <c r="AQ7" i="19"/>
  <c r="AX7" i="19"/>
  <c r="AJ7" i="19"/>
  <c r="AX56" i="19"/>
  <c r="AQ56" i="19"/>
  <c r="AJ56" i="19"/>
  <c r="AQ19" i="19"/>
  <c r="AJ19" i="19"/>
  <c r="AX19" i="19"/>
  <c r="AJ24" i="19"/>
  <c r="AX24" i="19"/>
  <c r="AQ24" i="19"/>
  <c r="AQ47" i="19"/>
  <c r="AX47" i="19"/>
  <c r="AJ47" i="19"/>
  <c r="AX14" i="19"/>
  <c r="AQ14" i="19"/>
  <c r="AJ14" i="19"/>
  <c r="AJ10" i="19"/>
  <c r="AQ10" i="19"/>
  <c r="AX10" i="19"/>
  <c r="AQ16" i="19"/>
  <c r="AJ16" i="19"/>
  <c r="AX16" i="19"/>
  <c r="AX12" i="19"/>
  <c r="AJ12" i="19"/>
  <c r="AQ12" i="19"/>
  <c r="AQ31" i="19"/>
  <c r="AJ31" i="19"/>
  <c r="AX31" i="19"/>
  <c r="AX30" i="19"/>
  <c r="AJ30" i="19"/>
  <c r="AQ30" i="19"/>
  <c r="AX23" i="19"/>
  <c r="AQ23" i="19"/>
  <c r="AJ23" i="19"/>
  <c r="AX45" i="19"/>
  <c r="AJ45" i="19"/>
  <c r="AQ45" i="19"/>
  <c r="AQ44" i="19"/>
  <c r="AJ44" i="19"/>
  <c r="AX44" i="19"/>
  <c r="AX41" i="19"/>
  <c r="AQ41" i="19"/>
  <c r="AJ41" i="19"/>
  <c r="AX43" i="19"/>
  <c r="AJ43" i="19"/>
  <c r="AQ43" i="19"/>
  <c r="AJ52" i="19"/>
  <c r="AQ52" i="19"/>
  <c r="AX52" i="19"/>
  <c r="K25" i="9"/>
  <c r="H6" i="20"/>
  <c r="H5" i="20" s="1"/>
  <c r="AQ28" i="19"/>
  <c r="AJ28" i="19"/>
  <c r="AX28" i="19"/>
  <c r="AX49" i="19"/>
  <c r="AQ49" i="19"/>
  <c r="AJ49" i="19"/>
  <c r="AX26" i="19"/>
  <c r="AJ26" i="19"/>
  <c r="AQ26" i="19"/>
  <c r="AQ54" i="19"/>
  <c r="AJ54" i="19"/>
  <c r="AX54" i="19"/>
  <c r="AX27" i="19"/>
  <c r="AJ27" i="19"/>
  <c r="AQ27" i="19"/>
  <c r="AJ29" i="19"/>
  <c r="AQ29" i="19"/>
  <c r="AX29" i="19"/>
  <c r="AQ22" i="19"/>
  <c r="AX22" i="19"/>
  <c r="AJ22" i="19"/>
  <c r="AX8" i="19"/>
  <c r="AQ8" i="19"/>
  <c r="AJ8" i="19"/>
  <c r="AX57" i="19"/>
  <c r="AJ57" i="19"/>
  <c r="AQ57" i="19"/>
  <c r="AX13" i="19"/>
  <c r="AJ13" i="19"/>
  <c r="AQ13" i="19"/>
  <c r="AQ15" i="19"/>
  <c r="AX15" i="19"/>
  <c r="AJ15" i="19"/>
  <c r="AJ9" i="19"/>
  <c r="AQ9" i="19"/>
  <c r="AX9" i="19"/>
  <c r="AQ58" i="19"/>
  <c r="AX58" i="19"/>
  <c r="AJ58" i="19"/>
  <c r="G25" i="9" l="1"/>
  <c r="D6" i="20"/>
  <c r="F26" i="9"/>
  <c r="E9" i="11"/>
  <c r="K3" i="9"/>
  <c r="K172" i="9" s="1"/>
  <c r="T6" i="20"/>
  <c r="T5" i="20" s="1"/>
  <c r="F81" i="9" l="1"/>
  <c r="F25" i="9"/>
  <c r="F3" i="9" s="1"/>
  <c r="F172" i="9" s="1"/>
  <c r="D5" i="20"/>
  <c r="I6" i="20"/>
  <c r="P6" i="20"/>
  <c r="G3" i="9"/>
  <c r="E38" i="11"/>
  <c r="D9" i="11"/>
  <c r="G83" i="9" l="1"/>
  <c r="F82" i="9"/>
  <c r="C9" i="11"/>
  <c r="D38" i="11"/>
  <c r="C38" i="11" s="1"/>
  <c r="G172" i="9"/>
  <c r="I5" i="20"/>
  <c r="P5" i="20"/>
  <c r="U6" i="20"/>
  <c r="G113" i="9" l="1"/>
  <c r="G114" i="9" s="1"/>
  <c r="G115" i="9" s="1"/>
  <c r="G116" i="9" s="1"/>
  <c r="G117" i="9" s="1"/>
  <c r="G118" i="9" s="1"/>
  <c r="G84" i="9"/>
  <c r="F83" i="9"/>
  <c r="H113" i="9"/>
  <c r="H114" i="9" s="1"/>
  <c r="H115" i="9" s="1"/>
  <c r="H116" i="9" s="1"/>
  <c r="H117" i="9" s="1"/>
  <c r="H118" i="9" s="1"/>
  <c r="U5" i="20"/>
  <c r="E172" i="9"/>
  <c r="I113" i="9"/>
  <c r="I114" i="9" s="1"/>
  <c r="I115" i="9" s="1"/>
  <c r="I116" i="9" s="1"/>
  <c r="I117" i="9" s="1"/>
  <c r="I118" i="9" s="1"/>
  <c r="J113" i="9"/>
  <c r="J114" i="9" s="1"/>
  <c r="J115" i="9" s="1"/>
  <c r="J116" i="9" s="1"/>
  <c r="J117" i="9" s="1"/>
  <c r="J118" i="9" s="1"/>
  <c r="K111" i="9"/>
  <c r="K112" i="9" s="1"/>
  <c r="K113" i="9" s="1"/>
  <c r="K114" i="9" s="1"/>
  <c r="K115" i="9" s="1"/>
  <c r="K116" i="9" s="1"/>
  <c r="K117" i="9" s="1"/>
  <c r="K118" i="9" s="1"/>
  <c r="F10" i="20" l="1"/>
  <c r="F9" i="20" s="1"/>
  <c r="G85" i="9"/>
  <c r="F84" i="9"/>
  <c r="H78" i="9"/>
  <c r="H56" i="9" s="1"/>
  <c r="G10" i="20"/>
  <c r="G9" i="20" s="1"/>
  <c r="H10" i="20"/>
  <c r="H9" i="20" s="1"/>
  <c r="K78" i="9"/>
  <c r="T10" i="20" s="1"/>
  <c r="T9" i="20" s="1"/>
  <c r="J78" i="9"/>
  <c r="S10" i="20" s="1"/>
  <c r="S9" i="20" s="1"/>
  <c r="I78" i="9"/>
  <c r="F112" i="9"/>
  <c r="G10" i="11" s="1"/>
  <c r="F111" i="9"/>
  <c r="F10" i="11" s="1"/>
  <c r="F115" i="9"/>
  <c r="F113" i="9"/>
  <c r="H10" i="11" s="1"/>
  <c r="F118" i="9"/>
  <c r="F117" i="9"/>
  <c r="F109" i="9"/>
  <c r="F116" i="9"/>
  <c r="F110" i="9"/>
  <c r="E10" i="11" s="1"/>
  <c r="F114" i="9"/>
  <c r="E10" i="20"/>
  <c r="E9" i="20" s="1"/>
  <c r="I10" i="11" l="1"/>
  <c r="I9" i="6" s="1"/>
  <c r="G86" i="9"/>
  <c r="F85" i="9"/>
  <c r="J10" i="11" s="1"/>
  <c r="J56" i="9"/>
  <c r="J173" i="9" s="1"/>
  <c r="Q10" i="20"/>
  <c r="Q9" i="20" s="1"/>
  <c r="K56" i="9"/>
  <c r="K173" i="9" s="1"/>
  <c r="R10" i="20"/>
  <c r="R9" i="20" s="1"/>
  <c r="I56" i="9"/>
  <c r="D10" i="11"/>
  <c r="I8" i="6"/>
  <c r="H39" i="11"/>
  <c r="H44" i="11" s="1"/>
  <c r="H15" i="11"/>
  <c r="F15" i="11"/>
  <c r="F39" i="11"/>
  <c r="F44" i="11" s="1"/>
  <c r="I6" i="6"/>
  <c r="H173" i="9"/>
  <c r="E39" i="11"/>
  <c r="E44" i="11" s="1"/>
  <c r="I5" i="6"/>
  <c r="J5" i="6" s="1"/>
  <c r="G15" i="11"/>
  <c r="I7" i="6"/>
  <c r="G39" i="11"/>
  <c r="G44" i="11" s="1"/>
  <c r="I15" i="11" l="1"/>
  <c r="I39" i="11"/>
  <c r="I44" i="11" s="1"/>
  <c r="J15" i="11"/>
  <c r="J39" i="11"/>
  <c r="J44" i="11" s="1"/>
  <c r="I10" i="6"/>
  <c r="G87" i="9"/>
  <c r="F86" i="9"/>
  <c r="J7" i="6"/>
  <c r="J6" i="6"/>
  <c r="D39" i="11"/>
  <c r="I4" i="6"/>
  <c r="J9" i="6"/>
  <c r="I173" i="9"/>
  <c r="J8" i="6"/>
  <c r="J10" i="6" l="1"/>
  <c r="K10" i="11"/>
  <c r="G88" i="9"/>
  <c r="F88" i="9" s="1"/>
  <c r="M10" i="11" s="1"/>
  <c r="F87" i="9"/>
  <c r="L10" i="11" s="1"/>
  <c r="J4" i="6"/>
  <c r="G78" i="9" l="1"/>
  <c r="P10" i="20" s="1"/>
  <c r="D10" i="20"/>
  <c r="I10" i="20" s="1"/>
  <c r="F78" i="9"/>
  <c r="F56" i="9" s="1"/>
  <c r="F173" i="9" s="1"/>
  <c r="L15" i="11"/>
  <c r="I12" i="6"/>
  <c r="L39" i="11"/>
  <c r="L44" i="11" s="1"/>
  <c r="I11" i="6"/>
  <c r="K39" i="11"/>
  <c r="K15" i="11"/>
  <c r="C10" i="11"/>
  <c r="I13" i="6"/>
  <c r="M39" i="11"/>
  <c r="M44" i="11" s="1"/>
  <c r="M15" i="11"/>
  <c r="G56" i="9" l="1"/>
  <c r="G173" i="9" s="1"/>
  <c r="E173" i="9" s="1"/>
  <c r="D9" i="20"/>
  <c r="I9" i="20" s="1"/>
  <c r="J12" i="6"/>
  <c r="K44" i="11"/>
  <c r="C39" i="11"/>
  <c r="J11" i="6"/>
  <c r="I14" i="6"/>
  <c r="J13" i="6"/>
  <c r="P9" i="20"/>
  <c r="U9" i="20" s="1"/>
  <c r="U10" i="20"/>
  <c r="F141" i="9" l="1"/>
  <c r="F140" i="9"/>
  <c r="J15" i="6"/>
  <c r="J14" i="6"/>
  <c r="AF89" i="19" l="1"/>
  <c r="AK89" i="19" s="1"/>
  <c r="AK92" i="19" s="1"/>
  <c r="AW89" i="19" l="1"/>
  <c r="AY89" i="19" s="1"/>
  <c r="AY92" i="19" s="1"/>
  <c r="AK90" i="19"/>
  <c r="AL66" i="19" s="1"/>
  <c r="AG89" i="19"/>
  <c r="AX89" i="19" s="1"/>
  <c r="AX90" i="19" s="1"/>
  <c r="AP89" i="19"/>
  <c r="AR89" i="19" s="1"/>
  <c r="AY90" i="19" l="1"/>
  <c r="AY93" i="19" s="1"/>
  <c r="AY94" i="19" s="1"/>
  <c r="AJ89" i="19"/>
  <c r="AJ90" i="19" s="1"/>
  <c r="AL20" i="19"/>
  <c r="AL57" i="19"/>
  <c r="AL63" i="19"/>
  <c r="AL89" i="19"/>
  <c r="AL56" i="19"/>
  <c r="AL15" i="19"/>
  <c r="AL43" i="19"/>
  <c r="AL10" i="19"/>
  <c r="AL72" i="19"/>
  <c r="AL6" i="19"/>
  <c r="AL8" i="19"/>
  <c r="AL50" i="19"/>
  <c r="AL14" i="19"/>
  <c r="AL61" i="19"/>
  <c r="AL78" i="19"/>
  <c r="AL74" i="19"/>
  <c r="AL52" i="19"/>
  <c r="AL19" i="19"/>
  <c r="AL12" i="19"/>
  <c r="AL79" i="19"/>
  <c r="AL55" i="19"/>
  <c r="AK93" i="19"/>
  <c r="AK94" i="19" s="1"/>
  <c r="AL9" i="19"/>
  <c r="AL65" i="19"/>
  <c r="AL27" i="19"/>
  <c r="AL16" i="19"/>
  <c r="AL34" i="19"/>
  <c r="AL21" i="19"/>
  <c r="AL35" i="19"/>
  <c r="AL51" i="19"/>
  <c r="AL67" i="19"/>
  <c r="AL62" i="19"/>
  <c r="AL70" i="19"/>
  <c r="AL80" i="19"/>
  <c r="AL87" i="19"/>
  <c r="AL26" i="19"/>
  <c r="AL58" i="19"/>
  <c r="AL42" i="19"/>
  <c r="AL54" i="19"/>
  <c r="AL60" i="19"/>
  <c r="AL84" i="19"/>
  <c r="AL71" i="19"/>
  <c r="AL49" i="19"/>
  <c r="AL59" i="19"/>
  <c r="AL37" i="19"/>
  <c r="AL28" i="19"/>
  <c r="AL17" i="19"/>
  <c r="AL40" i="19"/>
  <c r="AL31" i="19"/>
  <c r="AL23" i="19"/>
  <c r="AK96" i="19"/>
  <c r="AL82" i="19"/>
  <c r="AL29" i="19"/>
  <c r="AL77" i="19"/>
  <c r="AL7" i="19"/>
  <c r="AL83" i="19"/>
  <c r="AL38" i="19"/>
  <c r="AL22" i="19"/>
  <c r="AL73" i="19"/>
  <c r="AL47" i="19"/>
  <c r="AL88" i="19"/>
  <c r="AL5" i="19"/>
  <c r="AL45" i="19"/>
  <c r="AL30" i="19"/>
  <c r="AL48" i="19"/>
  <c r="AL44" i="19"/>
  <c r="AL41" i="19"/>
  <c r="AL64" i="19"/>
  <c r="AL13" i="19"/>
  <c r="AL85" i="19"/>
  <c r="AL86" i="19"/>
  <c r="AL75" i="19"/>
  <c r="AL24" i="19"/>
  <c r="AL33" i="19"/>
  <c r="AL81" i="19"/>
  <c r="AL36" i="19"/>
  <c r="AL69" i="19"/>
  <c r="AL76" i="19"/>
  <c r="AL68" i="19"/>
  <c r="F13" i="20"/>
  <c r="AQ89" i="19"/>
  <c r="AQ90" i="19" s="1"/>
  <c r="AR90" i="19"/>
  <c r="AR92" i="19"/>
  <c r="J129" i="9"/>
  <c r="S13" i="20" s="1"/>
  <c r="G13" i="20"/>
  <c r="E13" i="20" l="1"/>
  <c r="H129" i="9"/>
  <c r="Q13" i="20" s="1"/>
  <c r="H13" i="20"/>
  <c r="H3" i="20" s="1"/>
  <c r="J177" i="9"/>
  <c r="F130" i="9"/>
  <c r="D14" i="11" s="1"/>
  <c r="I129" i="9"/>
  <c r="R13" i="20" s="1"/>
  <c r="J174" i="9"/>
  <c r="J176" i="9" s="1"/>
  <c r="F131" i="9"/>
  <c r="E14" i="11" s="1"/>
  <c r="O5" i="6" s="1"/>
  <c r="P5" i="6" s="1"/>
  <c r="K129" i="9"/>
  <c r="AR93" i="19"/>
  <c r="AR94" i="19" s="1"/>
  <c r="G129" i="9"/>
  <c r="D13" i="20"/>
  <c r="C17" i="11" l="1"/>
  <c r="C16" i="11"/>
  <c r="I13" i="20"/>
  <c r="I174" i="9"/>
  <c r="I176" i="9" s="1"/>
  <c r="H174" i="9"/>
  <c r="H176" i="9" s="1"/>
  <c r="H177" i="9"/>
  <c r="C14" i="11"/>
  <c r="C15" i="11" s="1"/>
  <c r="D15" i="11"/>
  <c r="O4" i="6"/>
  <c r="O14" i="6" s="1"/>
  <c r="D43" i="11"/>
  <c r="D44" i="11" s="1"/>
  <c r="C44" i="11" s="1"/>
  <c r="E15" i="11"/>
  <c r="U5" i="6"/>
  <c r="C5" i="2" s="1"/>
  <c r="D5" i="2" s="1"/>
  <c r="I5" i="2" s="1"/>
  <c r="I177" i="9"/>
  <c r="E43" i="11"/>
  <c r="F129" i="9"/>
  <c r="F174" i="9" s="1"/>
  <c r="F176" i="9" s="1"/>
  <c r="T13" i="20"/>
  <c r="T3" i="20" s="1"/>
  <c r="K174" i="9"/>
  <c r="K176" i="9" s="1"/>
  <c r="G174" i="9"/>
  <c r="G176" i="9" s="1"/>
  <c r="P13" i="20"/>
  <c r="G177" i="9"/>
  <c r="E177" i="9" l="1"/>
  <c r="J46" i="3" s="1"/>
  <c r="P4" i="6"/>
  <c r="P15" i="6" s="1"/>
  <c r="U4" i="6"/>
  <c r="C4" i="2" s="1"/>
  <c r="C43" i="11"/>
  <c r="V5" i="6"/>
  <c r="U13" i="20"/>
  <c r="V13" i="20" s="1"/>
  <c r="E174" i="9"/>
  <c r="E176" i="9" s="1"/>
  <c r="Q49" i="3" l="1"/>
  <c r="P66" i="3"/>
  <c r="P147" i="3" s="1"/>
  <c r="K46" i="3"/>
  <c r="K97" i="3" s="1"/>
  <c r="M66" i="3"/>
  <c r="M76" i="3" s="1"/>
  <c r="M157" i="3" s="1"/>
  <c r="N49" i="3"/>
  <c r="H49" i="3"/>
  <c r="G66" i="3"/>
  <c r="G147" i="3" s="1"/>
  <c r="K49" i="3"/>
  <c r="J66" i="3"/>
  <c r="J147" i="3" s="1"/>
  <c r="H46" i="3"/>
  <c r="F4" i="14" s="1"/>
  <c r="E4" i="14" s="1"/>
  <c r="G46" i="3"/>
  <c r="G97" i="3" s="1"/>
  <c r="P14" i="6"/>
  <c r="M46" i="3"/>
  <c r="M107" i="3" s="1"/>
  <c r="P46" i="3"/>
  <c r="P47" i="3" s="1"/>
  <c r="Q46" i="3"/>
  <c r="Q97" i="3" s="1"/>
  <c r="J107" i="3"/>
  <c r="N46" i="3"/>
  <c r="F74" i="14" s="1"/>
  <c r="E74" i="14" s="1"/>
  <c r="V4" i="6"/>
  <c r="D4" i="2"/>
  <c r="F39" i="14" l="1"/>
  <c r="E39" i="14" s="1"/>
  <c r="H47" i="3"/>
  <c r="H48" i="3" s="1"/>
  <c r="H97" i="3"/>
  <c r="I97" i="3" s="1"/>
  <c r="H107" i="3"/>
  <c r="D4" i="14" s="1"/>
  <c r="K47" i="3"/>
  <c r="K107" i="3"/>
  <c r="L107" i="3" s="1"/>
  <c r="M67" i="3"/>
  <c r="M148" i="3" s="1"/>
  <c r="N66" i="3"/>
  <c r="N67" i="3" s="1"/>
  <c r="M147" i="3"/>
  <c r="D147" i="3" s="1"/>
  <c r="M47" i="3"/>
  <c r="M48" i="3" s="1"/>
  <c r="G67" i="3"/>
  <c r="G148" i="3" s="1"/>
  <c r="M97" i="3"/>
  <c r="G107" i="3"/>
  <c r="I107" i="3" s="1"/>
  <c r="I46" i="3"/>
  <c r="G47" i="3"/>
  <c r="G98" i="3" s="1"/>
  <c r="Q47" i="3"/>
  <c r="R46" i="3"/>
  <c r="Q107" i="3"/>
  <c r="D109" i="14" s="1"/>
  <c r="J67" i="3"/>
  <c r="J68" i="3" s="1"/>
  <c r="J69" i="3" s="1"/>
  <c r="J70" i="3" s="1"/>
  <c r="N97" i="3"/>
  <c r="D66" i="3"/>
  <c r="P76" i="3"/>
  <c r="P157" i="3" s="1"/>
  <c r="N107" i="3"/>
  <c r="O107" i="3" s="1"/>
  <c r="P67" i="3"/>
  <c r="P68" i="3" s="1"/>
  <c r="Q66" i="3"/>
  <c r="Q147" i="3" s="1"/>
  <c r="R147" i="3" s="1"/>
  <c r="N47" i="3"/>
  <c r="O46" i="3"/>
  <c r="P107" i="3"/>
  <c r="P97" i="3"/>
  <c r="R97" i="3" s="1"/>
  <c r="J97" i="3"/>
  <c r="G76" i="3"/>
  <c r="G157" i="3" s="1"/>
  <c r="L46" i="3"/>
  <c r="K66" i="3"/>
  <c r="L66" i="3" s="1"/>
  <c r="J47" i="3"/>
  <c r="J98" i="3" s="1"/>
  <c r="H66" i="3"/>
  <c r="H67" i="3" s="1"/>
  <c r="J76" i="3"/>
  <c r="J157" i="3" s="1"/>
  <c r="F5" i="14"/>
  <c r="E5" i="14" s="1"/>
  <c r="P98" i="3"/>
  <c r="P48" i="3"/>
  <c r="P108" i="3"/>
  <c r="I4" i="2"/>
  <c r="D39" i="14" l="1"/>
  <c r="H108" i="3"/>
  <c r="H98" i="3"/>
  <c r="I98" i="3" s="1"/>
  <c r="O66" i="3"/>
  <c r="N76" i="3"/>
  <c r="O76" i="3" s="1"/>
  <c r="F75" i="14"/>
  <c r="E75" i="14" s="1"/>
  <c r="N48" i="3"/>
  <c r="Q98" i="3"/>
  <c r="R98" i="3" s="1"/>
  <c r="Q48" i="3"/>
  <c r="F40" i="14"/>
  <c r="E40" i="14" s="1"/>
  <c r="K48" i="3"/>
  <c r="E97" i="3"/>
  <c r="O4" i="4" s="1"/>
  <c r="N147" i="3"/>
  <c r="O147" i="3" s="1"/>
  <c r="K98" i="3"/>
  <c r="L98" i="3" s="1"/>
  <c r="K108" i="3"/>
  <c r="D107" i="3"/>
  <c r="D74" i="14"/>
  <c r="M77" i="3"/>
  <c r="M158" i="3" s="1"/>
  <c r="M68" i="3"/>
  <c r="M78" i="3" s="1"/>
  <c r="M159" i="3" s="1"/>
  <c r="G77" i="3"/>
  <c r="G158" i="3" s="1"/>
  <c r="L47" i="3"/>
  <c r="I47" i="3"/>
  <c r="J108" i="3"/>
  <c r="J48" i="3"/>
  <c r="J49" i="3" s="1"/>
  <c r="J150" i="3"/>
  <c r="J79" i="3"/>
  <c r="J160" i="3" s="1"/>
  <c r="R47" i="3"/>
  <c r="Q108" i="3"/>
  <c r="R108" i="3" s="1"/>
  <c r="J149" i="3"/>
  <c r="G68" i="3"/>
  <c r="G149" i="3" s="1"/>
  <c r="J148" i="3"/>
  <c r="G48" i="3"/>
  <c r="G109" i="3" s="1"/>
  <c r="K76" i="3"/>
  <c r="F59" i="14" s="1"/>
  <c r="E59" i="14" s="1"/>
  <c r="D67" i="3"/>
  <c r="J77" i="3"/>
  <c r="J158" i="3" s="1"/>
  <c r="K67" i="3"/>
  <c r="M108" i="3"/>
  <c r="M98" i="3"/>
  <c r="D98" i="3" s="1"/>
  <c r="N5" i="4" s="1"/>
  <c r="E107" i="3"/>
  <c r="K147" i="3"/>
  <c r="L147" i="3" s="1"/>
  <c r="P77" i="3"/>
  <c r="P158" i="3" s="1"/>
  <c r="G108" i="3"/>
  <c r="I108" i="3" s="1"/>
  <c r="P148" i="3"/>
  <c r="I66" i="3"/>
  <c r="H76" i="3"/>
  <c r="I76" i="3" s="1"/>
  <c r="H147" i="3"/>
  <c r="I147" i="3" s="1"/>
  <c r="O97" i="3"/>
  <c r="J78" i="3"/>
  <c r="J159" i="3" s="1"/>
  <c r="E66" i="3"/>
  <c r="R66" i="3"/>
  <c r="D76" i="3"/>
  <c r="D157" i="3"/>
  <c r="K4" i="4" s="1"/>
  <c r="D97" i="3"/>
  <c r="N4" i="4" s="1"/>
  <c r="N98" i="3"/>
  <c r="O47" i="3"/>
  <c r="L97" i="3"/>
  <c r="N108" i="3"/>
  <c r="Q76" i="3"/>
  <c r="F129" i="14" s="1"/>
  <c r="E129" i="14" s="1"/>
  <c r="Q67" i="3"/>
  <c r="R67" i="3" s="1"/>
  <c r="R107" i="3"/>
  <c r="F107" i="3" s="1"/>
  <c r="D5" i="14"/>
  <c r="H68" i="3"/>
  <c r="H148" i="3"/>
  <c r="I67" i="3"/>
  <c r="H77" i="3"/>
  <c r="P78" i="3"/>
  <c r="P159" i="3" s="1"/>
  <c r="P149" i="3"/>
  <c r="P69" i="3"/>
  <c r="F94" i="14"/>
  <c r="E94" i="14" s="1"/>
  <c r="P49" i="3"/>
  <c r="P109" i="3"/>
  <c r="N68" i="3"/>
  <c r="N148" i="3"/>
  <c r="O148" i="3" s="1"/>
  <c r="O67" i="3"/>
  <c r="N77" i="3"/>
  <c r="M49" i="3"/>
  <c r="M109" i="3"/>
  <c r="J151" i="3"/>
  <c r="J71" i="3"/>
  <c r="J80" i="3"/>
  <c r="D40" i="14" l="1"/>
  <c r="N157" i="3"/>
  <c r="O157" i="3" s="1"/>
  <c r="M149" i="3"/>
  <c r="M69" i="3"/>
  <c r="M150" i="3" s="1"/>
  <c r="L108" i="3"/>
  <c r="P4" i="4"/>
  <c r="E98" i="3"/>
  <c r="O5" i="4" s="1"/>
  <c r="P5" i="4" s="1"/>
  <c r="F147" i="3"/>
  <c r="J109" i="3"/>
  <c r="D109" i="3" s="1"/>
  <c r="D110" i="14"/>
  <c r="O108" i="3"/>
  <c r="G49" i="3"/>
  <c r="G110" i="3" s="1"/>
  <c r="K157" i="3"/>
  <c r="L157" i="3" s="1"/>
  <c r="L76" i="3"/>
  <c r="D148" i="3"/>
  <c r="F24" i="14"/>
  <c r="E24" i="14" s="1"/>
  <c r="K68" i="3"/>
  <c r="K77" i="3"/>
  <c r="E147" i="3"/>
  <c r="H157" i="3"/>
  <c r="I157" i="3" s="1"/>
  <c r="K148" i="3"/>
  <c r="L148" i="3" s="1"/>
  <c r="D68" i="3"/>
  <c r="G78" i="3"/>
  <c r="G159" i="3" s="1"/>
  <c r="D159" i="3" s="1"/>
  <c r="K6" i="4" s="1"/>
  <c r="L67" i="3"/>
  <c r="F67" i="3" s="1"/>
  <c r="D108" i="3"/>
  <c r="G69" i="3"/>
  <c r="G70" i="3" s="1"/>
  <c r="D158" i="3"/>
  <c r="K5" i="4" s="1"/>
  <c r="T5" i="4" s="1"/>
  <c r="E5" i="2" s="1"/>
  <c r="D77" i="3"/>
  <c r="Q77" i="3"/>
  <c r="Q148" i="3"/>
  <c r="R148" i="3" s="1"/>
  <c r="F66" i="3"/>
  <c r="Q68" i="3"/>
  <c r="R68" i="3" s="1"/>
  <c r="F97" i="3"/>
  <c r="O98" i="3"/>
  <c r="F98" i="3" s="1"/>
  <c r="D75" i="14"/>
  <c r="E108" i="3"/>
  <c r="T4" i="4"/>
  <c r="E4" i="2" s="1"/>
  <c r="E67" i="3"/>
  <c r="E76" i="3"/>
  <c r="Q157" i="3"/>
  <c r="R157" i="3" s="1"/>
  <c r="R76" i="3"/>
  <c r="J110" i="3"/>
  <c r="J50" i="3"/>
  <c r="M110" i="3"/>
  <c r="M50" i="3"/>
  <c r="I148" i="3"/>
  <c r="H69" i="3"/>
  <c r="I68" i="3"/>
  <c r="O68" i="3"/>
  <c r="N69" i="3"/>
  <c r="P79" i="3"/>
  <c r="P160" i="3" s="1"/>
  <c r="P150" i="3"/>
  <c r="P70" i="3"/>
  <c r="F95" i="14"/>
  <c r="E95" i="14" s="1"/>
  <c r="O77" i="3"/>
  <c r="N158" i="3"/>
  <c r="O158" i="3" s="1"/>
  <c r="P50" i="3"/>
  <c r="P110" i="3"/>
  <c r="D149" i="3"/>
  <c r="H158" i="3"/>
  <c r="F25" i="14"/>
  <c r="E25" i="14" s="1"/>
  <c r="I77" i="3"/>
  <c r="J161" i="3"/>
  <c r="J152" i="3"/>
  <c r="J81" i="3"/>
  <c r="J72" i="3"/>
  <c r="D94" i="14" l="1"/>
  <c r="M70" i="3"/>
  <c r="M71" i="3" s="1"/>
  <c r="M79" i="3"/>
  <c r="M160" i="3" s="1"/>
  <c r="F108" i="3"/>
  <c r="Q69" i="3"/>
  <c r="R69" i="3" s="1"/>
  <c r="E68" i="3"/>
  <c r="F76" i="3"/>
  <c r="G50" i="3"/>
  <c r="G51" i="3" s="1"/>
  <c r="D59" i="14"/>
  <c r="D78" i="3"/>
  <c r="F157" i="3"/>
  <c r="G150" i="3"/>
  <c r="D150" i="3" s="1"/>
  <c r="G79" i="3"/>
  <c r="D69" i="3"/>
  <c r="E77" i="3"/>
  <c r="Q158" i="3"/>
  <c r="R158" i="3" s="1"/>
  <c r="R77" i="3"/>
  <c r="F130" i="14"/>
  <c r="E130" i="14" s="1"/>
  <c r="K158" i="3"/>
  <c r="L158" i="3" s="1"/>
  <c r="L77" i="3"/>
  <c r="F60" i="14"/>
  <c r="E60" i="14" s="1"/>
  <c r="F148" i="3"/>
  <c r="D24" i="14"/>
  <c r="K69" i="3"/>
  <c r="L68" i="3"/>
  <c r="F68" i="3" s="1"/>
  <c r="E148" i="3"/>
  <c r="E157" i="3"/>
  <c r="L4" i="4" s="1"/>
  <c r="M4" i="4" s="1"/>
  <c r="D129" i="14"/>
  <c r="D25" i="14"/>
  <c r="J51" i="3"/>
  <c r="J111" i="3"/>
  <c r="P151" i="3"/>
  <c r="P71" i="3"/>
  <c r="P80" i="3"/>
  <c r="P161" i="3" s="1"/>
  <c r="G151" i="3"/>
  <c r="G80" i="3"/>
  <c r="G71" i="3"/>
  <c r="M111" i="3"/>
  <c r="M51" i="3"/>
  <c r="I158" i="3"/>
  <c r="P111" i="3"/>
  <c r="P51" i="3"/>
  <c r="D95" i="14"/>
  <c r="O69" i="3"/>
  <c r="N70" i="3"/>
  <c r="I69" i="3"/>
  <c r="H70" i="3"/>
  <c r="D110" i="3"/>
  <c r="J162" i="3"/>
  <c r="J153" i="3"/>
  <c r="J82" i="3"/>
  <c r="J73" i="3"/>
  <c r="M80" i="3" l="1"/>
  <c r="M161" i="3" s="1"/>
  <c r="D79" i="3"/>
  <c r="D70" i="3"/>
  <c r="M151" i="3"/>
  <c r="D151" i="3" s="1"/>
  <c r="Q70" i="3"/>
  <c r="Q71" i="3" s="1"/>
  <c r="E69" i="3"/>
  <c r="G111" i="3"/>
  <c r="D111" i="3" s="1"/>
  <c r="F77" i="3"/>
  <c r="G160" i="3"/>
  <c r="D160" i="3" s="1"/>
  <c r="K7" i="4" s="1"/>
  <c r="D130" i="14"/>
  <c r="D60" i="14"/>
  <c r="F158" i="3"/>
  <c r="E158" i="3"/>
  <c r="L5" i="4" s="1"/>
  <c r="U5" i="4" s="1"/>
  <c r="U4" i="4"/>
  <c r="V4" i="4" s="1"/>
  <c r="B8" i="31" s="1"/>
  <c r="C8" i="31" s="1"/>
  <c r="K70" i="3"/>
  <c r="L69" i="3"/>
  <c r="F69" i="3" s="1"/>
  <c r="G52" i="3"/>
  <c r="G112" i="3"/>
  <c r="P112" i="3"/>
  <c r="P52" i="3"/>
  <c r="M112" i="3"/>
  <c r="M52" i="3"/>
  <c r="H71" i="3"/>
  <c r="I70" i="3"/>
  <c r="G72" i="3"/>
  <c r="D71" i="3"/>
  <c r="G81" i="3"/>
  <c r="G152" i="3"/>
  <c r="M81" i="3"/>
  <c r="M162" i="3" s="1"/>
  <c r="M152" i="3"/>
  <c r="M72" i="3"/>
  <c r="G161" i="3"/>
  <c r="D161" i="3" s="1"/>
  <c r="K8" i="4" s="1"/>
  <c r="P81" i="3"/>
  <c r="P162" i="3" s="1"/>
  <c r="P72" i="3"/>
  <c r="P152" i="3"/>
  <c r="N71" i="3"/>
  <c r="O70" i="3"/>
  <c r="J112" i="3"/>
  <c r="J52" i="3"/>
  <c r="J83" i="3"/>
  <c r="J154" i="3"/>
  <c r="J74" i="3"/>
  <c r="J163" i="3"/>
  <c r="D80" i="3" l="1"/>
  <c r="E70" i="3"/>
  <c r="R70" i="3"/>
  <c r="F4" i="2"/>
  <c r="G4" i="2" s="1"/>
  <c r="J4" i="2" s="1"/>
  <c r="K4" i="2" s="1"/>
  <c r="M5" i="4"/>
  <c r="L70" i="3"/>
  <c r="K71" i="3"/>
  <c r="E71" i="3" s="1"/>
  <c r="G113" i="3"/>
  <c r="G53" i="3"/>
  <c r="D152" i="3"/>
  <c r="H72" i="3"/>
  <c r="I71" i="3"/>
  <c r="J53" i="3"/>
  <c r="J113" i="3"/>
  <c r="N72" i="3"/>
  <c r="O71" i="3"/>
  <c r="D112" i="3"/>
  <c r="M153" i="3"/>
  <c r="M82" i="3"/>
  <c r="M163" i="3" s="1"/>
  <c r="M73" i="3"/>
  <c r="G162" i="3"/>
  <c r="D162" i="3" s="1"/>
  <c r="K9" i="4" s="1"/>
  <c r="D81" i="3"/>
  <c r="P113" i="3"/>
  <c r="P53" i="3"/>
  <c r="V5" i="4"/>
  <c r="B9" i="31" s="1"/>
  <c r="C9" i="31" s="1"/>
  <c r="F5" i="2"/>
  <c r="G5" i="2" s="1"/>
  <c r="J5" i="2" s="1"/>
  <c r="G73" i="3"/>
  <c r="D72" i="3"/>
  <c r="G153" i="3"/>
  <c r="G82" i="3"/>
  <c r="M113" i="3"/>
  <c r="M53" i="3"/>
  <c r="Q72" i="3"/>
  <c r="R71" i="3"/>
  <c r="P73" i="3"/>
  <c r="P153" i="3"/>
  <c r="P82" i="3"/>
  <c r="P163" i="3" s="1"/>
  <c r="J164" i="3"/>
  <c r="J75" i="3"/>
  <c r="J155" i="3"/>
  <c r="J84" i="3"/>
  <c r="F70" i="3" l="1"/>
  <c r="K72" i="3"/>
  <c r="E72" i="3" s="1"/>
  <c r="L71" i="3"/>
  <c r="F71" i="3" s="1"/>
  <c r="G54" i="3"/>
  <c r="G114" i="3"/>
  <c r="D153" i="3"/>
  <c r="Q73" i="3"/>
  <c r="R72" i="3"/>
  <c r="J54" i="3"/>
  <c r="J114" i="3"/>
  <c r="M114" i="3"/>
  <c r="M54" i="3"/>
  <c r="P114" i="3"/>
  <c r="P54" i="3"/>
  <c r="M154" i="3"/>
  <c r="M74" i="3"/>
  <c r="M83" i="3"/>
  <c r="M164" i="3" s="1"/>
  <c r="P154" i="3"/>
  <c r="P83" i="3"/>
  <c r="P164" i="3" s="1"/>
  <c r="P74" i="3"/>
  <c r="D73" i="3"/>
  <c r="G83" i="3"/>
  <c r="G154" i="3"/>
  <c r="G74" i="3"/>
  <c r="O72" i="3"/>
  <c r="N73" i="3"/>
  <c r="D82" i="3"/>
  <c r="G163" i="3"/>
  <c r="D163" i="3" s="1"/>
  <c r="K10" i="4" s="1"/>
  <c r="D113" i="3"/>
  <c r="I72" i="3"/>
  <c r="H73" i="3"/>
  <c r="J156" i="3"/>
  <c r="J85" i="3"/>
  <c r="J165" i="3"/>
  <c r="L4" i="2"/>
  <c r="K5" i="2"/>
  <c r="K73" i="3" l="1"/>
  <c r="E73" i="3" s="1"/>
  <c r="L72" i="3"/>
  <c r="F72" i="3" s="1"/>
  <c r="G55" i="3"/>
  <c r="G116" i="3" s="1"/>
  <c r="G115" i="3"/>
  <c r="D114" i="3"/>
  <c r="G164" i="3"/>
  <c r="D164" i="3" s="1"/>
  <c r="K11" i="4" s="1"/>
  <c r="D83" i="3"/>
  <c r="J115" i="3"/>
  <c r="J55" i="3"/>
  <c r="J116" i="3" s="1"/>
  <c r="H74" i="3"/>
  <c r="I73" i="3"/>
  <c r="G75" i="3"/>
  <c r="G155" i="3"/>
  <c r="D74" i="3"/>
  <c r="G84" i="3"/>
  <c r="P75" i="3"/>
  <c r="P155" i="3"/>
  <c r="P84" i="3"/>
  <c r="P165" i="3" s="1"/>
  <c r="M84" i="3"/>
  <c r="M165" i="3" s="1"/>
  <c r="M155" i="3"/>
  <c r="M75" i="3"/>
  <c r="M115" i="3"/>
  <c r="M55" i="3"/>
  <c r="M116" i="3" s="1"/>
  <c r="N74" i="3"/>
  <c r="O73" i="3"/>
  <c r="P55" i="3"/>
  <c r="P116" i="3" s="1"/>
  <c r="P115" i="3"/>
  <c r="D154" i="3"/>
  <c r="Q74" i="3"/>
  <c r="R73" i="3"/>
  <c r="L5" i="2"/>
  <c r="J166" i="3"/>
  <c r="L73" i="3" l="1"/>
  <c r="F73" i="3" s="1"/>
  <c r="K74" i="3"/>
  <c r="E74" i="3" s="1"/>
  <c r="D116" i="3"/>
  <c r="R74" i="3"/>
  <c r="Q75" i="3"/>
  <c r="R75" i="3" s="1"/>
  <c r="O74" i="3"/>
  <c r="N75" i="3"/>
  <c r="O75" i="3" s="1"/>
  <c r="P156" i="3"/>
  <c r="P85" i="3"/>
  <c r="P166" i="3" s="1"/>
  <c r="D75" i="3"/>
  <c r="G85" i="3"/>
  <c r="G156" i="3"/>
  <c r="D84" i="3"/>
  <c r="G165" i="3"/>
  <c r="D165" i="3" s="1"/>
  <c r="K12" i="4" s="1"/>
  <c r="D115" i="3"/>
  <c r="M85" i="3"/>
  <c r="M166" i="3" s="1"/>
  <c r="M156" i="3"/>
  <c r="D155" i="3"/>
  <c r="H75" i="3"/>
  <c r="I74" i="3"/>
  <c r="K75" i="3" l="1"/>
  <c r="L75" i="3" s="1"/>
  <c r="L74" i="3"/>
  <c r="F74" i="3" s="1"/>
  <c r="D156" i="3"/>
  <c r="I75" i="3"/>
  <c r="D85" i="3"/>
  <c r="G166" i="3"/>
  <c r="D166" i="3" s="1"/>
  <c r="K13" i="4" s="1"/>
  <c r="K14" i="4" s="1"/>
  <c r="F75" i="3" l="1"/>
  <c r="E75" i="3"/>
  <c r="AE8" i="33"/>
  <c r="AF8" i="33"/>
  <c r="AI93" i="33" s="1"/>
  <c r="AI8" i="33" s="1"/>
  <c r="AI4" i="33" s="1"/>
  <c r="AI445" i="33" s="1"/>
  <c r="AH51" i="24" s="1"/>
  <c r="AH93" i="33" l="1"/>
  <c r="AG14" i="24" s="1"/>
  <c r="AG7" i="24" s="1"/>
  <c r="AG4" i="24" s="1"/>
  <c r="AG93" i="33"/>
  <c r="AF14" i="24" s="1"/>
  <c r="AF7" i="24" s="1"/>
  <c r="AJ93" i="33"/>
  <c r="AI14" i="24" s="1"/>
  <c r="AI7" i="24" s="1"/>
  <c r="AI4" i="24" s="1"/>
  <c r="AH14" i="24"/>
  <c r="AH7" i="24" s="1"/>
  <c r="AH4" i="24" s="1"/>
  <c r="AH52" i="24" s="1"/>
  <c r="AH8" i="33" l="1"/>
  <c r="AH4" i="33" s="1"/>
  <c r="AG8" i="33"/>
  <c r="G8" i="33" s="1"/>
  <c r="V7" i="24"/>
  <c r="X7" i="24"/>
  <c r="AA7" i="24"/>
  <c r="Z7" i="24"/>
  <c r="E7" i="24"/>
  <c r="W7" i="24"/>
  <c r="D7" i="24"/>
  <c r="T7" i="24"/>
  <c r="AC7" i="24"/>
  <c r="AB7" i="24"/>
  <c r="P7" i="24"/>
  <c r="Y7" i="24"/>
  <c r="Q7" i="24"/>
  <c r="N7" i="24"/>
  <c r="F7" i="24"/>
  <c r="R7" i="24"/>
  <c r="S7" i="24"/>
  <c r="G7" i="24"/>
  <c r="U7" i="24"/>
  <c r="AJ8" i="33"/>
  <c r="AJ4" i="33" s="1"/>
  <c r="AJ445" i="33" s="1"/>
  <c r="AI51" i="24" s="1"/>
  <c r="AI52" i="24" s="1"/>
  <c r="N8" i="33"/>
  <c r="AC8" i="33"/>
  <c r="X8" i="33"/>
  <c r="V8" i="33"/>
  <c r="S8" i="33"/>
  <c r="U8" i="33"/>
  <c r="Q8" i="33"/>
  <c r="T8" i="33"/>
  <c r="Z8" i="33"/>
  <c r="R8" i="33"/>
  <c r="AF4" i="24"/>
  <c r="AH445" i="33"/>
  <c r="AG51" i="24" s="1"/>
  <c r="AG52" i="24" s="1"/>
  <c r="AG4" i="33" l="1"/>
  <c r="L4" i="33" s="1"/>
  <c r="L5" i="33" s="1"/>
  <c r="AA8" i="33"/>
  <c r="AB8" i="33"/>
  <c r="Y8" i="33"/>
  <c r="W8" i="33"/>
  <c r="D8" i="33"/>
  <c r="F8" i="33"/>
  <c r="P8" i="33"/>
  <c r="E8" i="33"/>
  <c r="I4" i="24"/>
  <c r="I5" i="24" s="1"/>
  <c r="Y4" i="24"/>
  <c r="Y5" i="24" s="1"/>
  <c r="U4" i="24"/>
  <c r="U5" i="24" s="1"/>
  <c r="AB4" i="24"/>
  <c r="AB5" i="24" s="1"/>
  <c r="P4" i="24"/>
  <c r="P5" i="24" s="1"/>
  <c r="S4" i="24"/>
  <c r="S5" i="24" s="1"/>
  <c r="W4" i="24"/>
  <c r="W5" i="24" s="1"/>
  <c r="K4" i="24"/>
  <c r="K5" i="24" s="1"/>
  <c r="AE4" i="24"/>
  <c r="AA4" i="24"/>
  <c r="AA5" i="24" s="1"/>
  <c r="N4" i="24"/>
  <c r="N5" i="24" s="1"/>
  <c r="F4" i="24"/>
  <c r="F5" i="24" s="1"/>
  <c r="AC4" i="24"/>
  <c r="AC5" i="24" s="1"/>
  <c r="Q4" i="24"/>
  <c r="Q5" i="24" s="1"/>
  <c r="T4" i="24"/>
  <c r="T5" i="24" s="1"/>
  <c r="R4" i="24"/>
  <c r="R5" i="24" s="1"/>
  <c r="D4" i="24"/>
  <c r="D5" i="24" s="1"/>
  <c r="G4" i="24"/>
  <c r="G5" i="24" s="1"/>
  <c r="Z4" i="24"/>
  <c r="Z5" i="24" s="1"/>
  <c r="V4" i="24"/>
  <c r="V5" i="24" s="1"/>
  <c r="H4" i="24"/>
  <c r="H5" i="24" s="1"/>
  <c r="L4" i="24"/>
  <c r="L5" i="24" s="1"/>
  <c r="E4" i="24"/>
  <c r="E5" i="24" s="1"/>
  <c r="O4" i="24"/>
  <c r="O5" i="24" s="1"/>
  <c r="J4" i="24"/>
  <c r="J5" i="24" s="1"/>
  <c r="X4" i="24"/>
  <c r="X5" i="24" s="1"/>
  <c r="M4" i="24"/>
  <c r="M5" i="24" s="1"/>
  <c r="AF4" i="33" l="1"/>
  <c r="J4" i="33"/>
  <c r="J5" i="33" s="1"/>
  <c r="E4" i="33"/>
  <c r="E5" i="33" s="1"/>
  <c r="P4" i="33"/>
  <c r="P5" i="33" s="1"/>
  <c r="AC4" i="33"/>
  <c r="AC5" i="33" s="1"/>
  <c r="N4" i="33"/>
  <c r="N5" i="33" s="1"/>
  <c r="T4" i="33"/>
  <c r="T5" i="33" s="1"/>
  <c r="D4" i="33"/>
  <c r="D5" i="33" s="1"/>
  <c r="O4" i="33"/>
  <c r="O5" i="33" s="1"/>
  <c r="H4" i="33"/>
  <c r="H5" i="33" s="1"/>
  <c r="S4" i="33"/>
  <c r="S5" i="33" s="1"/>
  <c r="K4" i="33"/>
  <c r="K5" i="33" s="1"/>
  <c r="V4" i="33"/>
  <c r="V5" i="33" s="1"/>
  <c r="M4" i="33"/>
  <c r="M5" i="33" s="1"/>
  <c r="I4" i="33"/>
  <c r="I5" i="33" s="1"/>
  <c r="R4" i="33"/>
  <c r="R5" i="33" s="1"/>
  <c r="F4" i="33"/>
  <c r="F5" i="33" s="1"/>
  <c r="U4" i="33"/>
  <c r="U5" i="33" s="1"/>
  <c r="AE4" i="33"/>
  <c r="W4" i="33"/>
  <c r="W5" i="33" s="1"/>
  <c r="G4" i="33"/>
  <c r="G5" i="33" s="1"/>
  <c r="Q4" i="33"/>
  <c r="Q5" i="33" s="1"/>
  <c r="Z4" i="33"/>
  <c r="Z5" i="33" s="1"/>
  <c r="Y4" i="33"/>
  <c r="Y5" i="33" s="1"/>
  <c r="AB4" i="33"/>
  <c r="AB5" i="33" s="1"/>
  <c r="AG445" i="33"/>
  <c r="AF51" i="24" s="1"/>
  <c r="AF52" i="24" s="1"/>
  <c r="AG54" i="24" s="1"/>
  <c r="AH447" i="33" s="1"/>
  <c r="AH446" i="33" s="1"/>
  <c r="X4" i="33"/>
  <c r="X5" i="33" s="1"/>
  <c r="AA4" i="33"/>
  <c r="AA5" i="33" s="1"/>
  <c r="AE5" i="24"/>
  <c r="C25" i="34" s="1"/>
  <c r="H78" i="3"/>
  <c r="AE5" i="33" l="1"/>
  <c r="AF5" i="33" s="1"/>
  <c r="AG5" i="33" s="1"/>
  <c r="AI5" i="33" s="1"/>
  <c r="AF54" i="24"/>
  <c r="C14" i="34" s="1"/>
  <c r="C24" i="34" s="1"/>
  <c r="C26" i="34" s="1"/>
  <c r="AG447" i="33"/>
  <c r="AG448" i="33" s="1"/>
  <c r="AG55" i="24"/>
  <c r="AF5" i="24"/>
  <c r="AH448" i="33"/>
  <c r="E16" i="14"/>
  <c r="I18" i="3"/>
  <c r="Q18" i="3"/>
  <c r="I19" i="3"/>
  <c r="E86" i="14"/>
  <c r="K18" i="3"/>
  <c r="N18" i="3"/>
  <c r="N78" i="3" s="1"/>
  <c r="E51" i="14"/>
  <c r="F52" i="14"/>
  <c r="F26" i="14"/>
  <c r="E26" i="14" s="1"/>
  <c r="I78" i="3"/>
  <c r="H159" i="3"/>
  <c r="AF55" i="24" l="1"/>
  <c r="AH5" i="33"/>
  <c r="AH5" i="24"/>
  <c r="AG5" i="24"/>
  <c r="F17" i="14"/>
  <c r="F18" i="14" s="1"/>
  <c r="R18" i="3"/>
  <c r="Q78" i="3"/>
  <c r="R78" i="3" s="1"/>
  <c r="H20" i="3"/>
  <c r="H21" i="3" s="1"/>
  <c r="E18" i="3"/>
  <c r="F7" i="14"/>
  <c r="E7" i="14" s="1"/>
  <c r="H79" i="3"/>
  <c r="I79" i="3" s="1"/>
  <c r="L18" i="3"/>
  <c r="O19" i="3"/>
  <c r="O18" i="3"/>
  <c r="N8" i="3"/>
  <c r="O8" i="3" s="1"/>
  <c r="D16" i="14"/>
  <c r="H129" i="3"/>
  <c r="I129" i="3" s="1"/>
  <c r="H89" i="3"/>
  <c r="F87" i="14"/>
  <c r="F88" i="14" s="1"/>
  <c r="H139" i="3"/>
  <c r="I139" i="3" s="1"/>
  <c r="H149" i="3"/>
  <c r="I149" i="3" s="1"/>
  <c r="K78" i="3"/>
  <c r="Q8" i="3"/>
  <c r="Q129" i="3" s="1"/>
  <c r="R129" i="3" s="1"/>
  <c r="I8" i="3"/>
  <c r="K8" i="3"/>
  <c r="L8" i="3" s="1"/>
  <c r="D26" i="14"/>
  <c r="L48" i="3"/>
  <c r="N159" i="3"/>
  <c r="O159" i="3" s="1"/>
  <c r="F96" i="14"/>
  <c r="E96" i="14" s="1"/>
  <c r="O78" i="3"/>
  <c r="L19" i="3"/>
  <c r="K20" i="3"/>
  <c r="K79" i="3"/>
  <c r="E52" i="14"/>
  <c r="F53" i="14"/>
  <c r="R19" i="3"/>
  <c r="Q79" i="3"/>
  <c r="Q20" i="3"/>
  <c r="I9" i="3"/>
  <c r="H90" i="3"/>
  <c r="H10" i="3"/>
  <c r="H130" i="3"/>
  <c r="H150" i="3"/>
  <c r="H140" i="3"/>
  <c r="I159" i="3"/>
  <c r="E17" i="14" l="1"/>
  <c r="D17" i="14" s="1"/>
  <c r="N20" i="3"/>
  <c r="E20" i="3" s="1"/>
  <c r="N79" i="3"/>
  <c r="O79" i="3" s="1"/>
  <c r="E19" i="3"/>
  <c r="Q159" i="3"/>
  <c r="R159" i="3" s="1"/>
  <c r="H80" i="3"/>
  <c r="I80" i="3" s="1"/>
  <c r="E78" i="3"/>
  <c r="F131" i="14"/>
  <c r="E131" i="14" s="1"/>
  <c r="I20" i="3"/>
  <c r="F18" i="3"/>
  <c r="N89" i="3"/>
  <c r="O89" i="3" s="1"/>
  <c r="N119" i="3" s="1"/>
  <c r="O119" i="3" s="1"/>
  <c r="H99" i="3"/>
  <c r="H109" i="3"/>
  <c r="I109" i="3" s="1"/>
  <c r="F6" i="14"/>
  <c r="E6" i="14" s="1"/>
  <c r="F27" i="14"/>
  <c r="E27" i="14" s="1"/>
  <c r="I48" i="3"/>
  <c r="H160" i="3"/>
  <c r="N150" i="3"/>
  <c r="O150" i="3" s="1"/>
  <c r="K159" i="3"/>
  <c r="L159" i="3" s="1"/>
  <c r="L78" i="3"/>
  <c r="F78" i="3" s="1"/>
  <c r="F61" i="14"/>
  <c r="E61" i="14" s="1"/>
  <c r="N139" i="3"/>
  <c r="O139" i="3" s="1"/>
  <c r="N129" i="3"/>
  <c r="O129" i="3" s="1"/>
  <c r="Q109" i="3"/>
  <c r="D111" i="14" s="1"/>
  <c r="D86" i="14"/>
  <c r="K149" i="3"/>
  <c r="L149" i="3" s="1"/>
  <c r="K129" i="3"/>
  <c r="L129" i="3" s="1"/>
  <c r="Q149" i="3"/>
  <c r="R149" i="3" s="1"/>
  <c r="N149" i="3"/>
  <c r="O149" i="3" s="1"/>
  <c r="K109" i="3"/>
  <c r="L109" i="3" s="1"/>
  <c r="D121" i="14"/>
  <c r="I89" i="3"/>
  <c r="H119" i="3" s="1"/>
  <c r="F41" i="14"/>
  <c r="E41" i="14" s="1"/>
  <c r="Q89" i="3"/>
  <c r="G99" i="3"/>
  <c r="Q139" i="3"/>
  <c r="R139" i="3" s="1"/>
  <c r="R8" i="3"/>
  <c r="F8" i="3" s="1"/>
  <c r="E87" i="14"/>
  <c r="D87" i="14" s="1"/>
  <c r="H110" i="3"/>
  <c r="I110" i="3" s="1"/>
  <c r="K139" i="3"/>
  <c r="L139" i="3" s="1"/>
  <c r="D51" i="14"/>
  <c r="K89" i="3"/>
  <c r="E8" i="3"/>
  <c r="F76" i="14"/>
  <c r="E76" i="14" s="1"/>
  <c r="K130" i="3"/>
  <c r="L130" i="3" s="1"/>
  <c r="Q150" i="3"/>
  <c r="R150" i="3" s="1"/>
  <c r="F19" i="3"/>
  <c r="I21" i="3"/>
  <c r="H81" i="3"/>
  <c r="H22" i="3"/>
  <c r="L79" i="3"/>
  <c r="F62" i="14"/>
  <c r="E62" i="14" s="1"/>
  <c r="K160" i="3"/>
  <c r="L160" i="3" s="1"/>
  <c r="G100" i="3"/>
  <c r="I90" i="3"/>
  <c r="H100" i="3"/>
  <c r="L20" i="3"/>
  <c r="K21" i="3"/>
  <c r="K80" i="3"/>
  <c r="I130" i="3"/>
  <c r="L49" i="3"/>
  <c r="K50" i="3"/>
  <c r="I10" i="3"/>
  <c r="H151" i="3"/>
  <c r="H131" i="3"/>
  <c r="H91" i="3"/>
  <c r="H141" i="3"/>
  <c r="H11" i="3"/>
  <c r="E53" i="14"/>
  <c r="F54" i="14"/>
  <c r="O9" i="3"/>
  <c r="I140" i="3"/>
  <c r="E18" i="14"/>
  <c r="D18" i="14" s="1"/>
  <c r="F19" i="14"/>
  <c r="F89" i="14"/>
  <c r="E88" i="14"/>
  <c r="Q21" i="3"/>
  <c r="R20" i="3"/>
  <c r="Q80" i="3"/>
  <c r="Q160" i="3"/>
  <c r="R160" i="3" s="1"/>
  <c r="F132" i="14"/>
  <c r="E132" i="14" s="1"/>
  <c r="R79" i="3"/>
  <c r="I150" i="3"/>
  <c r="D96" i="14"/>
  <c r="I49" i="3"/>
  <c r="H50" i="3"/>
  <c r="F8" i="14" s="1"/>
  <c r="E8" i="14" s="1"/>
  <c r="N80" i="3" l="1"/>
  <c r="O80" i="3" s="1"/>
  <c r="N160" i="3"/>
  <c r="O160" i="3" s="1"/>
  <c r="N21" i="3"/>
  <c r="N22" i="3" s="1"/>
  <c r="F28" i="14"/>
  <c r="E28" i="14" s="1"/>
  <c r="E79" i="3"/>
  <c r="F97" i="14"/>
  <c r="E97" i="14" s="1"/>
  <c r="O20" i="3"/>
  <c r="F20" i="3" s="1"/>
  <c r="H161" i="3"/>
  <c r="I161" i="3" s="1"/>
  <c r="N10" i="3"/>
  <c r="N151" i="3" s="1"/>
  <c r="O151" i="3" s="1"/>
  <c r="M99" i="3"/>
  <c r="D131" i="14"/>
  <c r="F159" i="3"/>
  <c r="N140" i="3"/>
  <c r="O140" i="3" s="1"/>
  <c r="N130" i="3"/>
  <c r="O130" i="3" s="1"/>
  <c r="N90" i="3"/>
  <c r="M100" i="3" s="1"/>
  <c r="D6" i="14"/>
  <c r="I99" i="3"/>
  <c r="D27" i="14"/>
  <c r="E149" i="3"/>
  <c r="I160" i="3"/>
  <c r="E159" i="3"/>
  <c r="L6" i="4" s="1"/>
  <c r="M6" i="4" s="1"/>
  <c r="D61" i="14"/>
  <c r="Q99" i="3"/>
  <c r="E89" i="3"/>
  <c r="Q110" i="3"/>
  <c r="R110" i="3" s="1"/>
  <c r="R48" i="3"/>
  <c r="F149" i="3"/>
  <c r="E129" i="3"/>
  <c r="F129" i="3" s="1"/>
  <c r="N109" i="3"/>
  <c r="O109" i="3" s="1"/>
  <c r="D41" i="14"/>
  <c r="F139" i="3"/>
  <c r="L89" i="3"/>
  <c r="K119" i="3" s="1"/>
  <c r="L119" i="3" s="1"/>
  <c r="R89" i="3"/>
  <c r="Q119" i="3" s="1"/>
  <c r="R119" i="3" s="1"/>
  <c r="P99" i="3"/>
  <c r="D52" i="14"/>
  <c r="Q10" i="3"/>
  <c r="Q91" i="3" s="1"/>
  <c r="Q130" i="3"/>
  <c r="R130" i="3" s="1"/>
  <c r="Q90" i="3"/>
  <c r="P100" i="3" s="1"/>
  <c r="Q140" i="3"/>
  <c r="R140" i="3" s="1"/>
  <c r="D122" i="14"/>
  <c r="D7" i="14"/>
  <c r="L9" i="3"/>
  <c r="E139" i="3"/>
  <c r="C6" i="4" s="1"/>
  <c r="R6" i="4" s="1"/>
  <c r="R9" i="3"/>
  <c r="K99" i="3"/>
  <c r="J99" i="3"/>
  <c r="K150" i="3"/>
  <c r="L150" i="3" s="1"/>
  <c r="F150" i="3" s="1"/>
  <c r="E9" i="3"/>
  <c r="K90" i="3"/>
  <c r="L90" i="3" s="1"/>
  <c r="K120" i="3" s="1"/>
  <c r="L120" i="3" s="1"/>
  <c r="K140" i="3"/>
  <c r="L140" i="3" s="1"/>
  <c r="K10" i="3"/>
  <c r="K111" i="3" s="1"/>
  <c r="L111" i="3" s="1"/>
  <c r="R109" i="3"/>
  <c r="O48" i="3"/>
  <c r="N99" i="3"/>
  <c r="K110" i="3"/>
  <c r="L110" i="3" s="1"/>
  <c r="F42" i="14"/>
  <c r="E42" i="14" s="1"/>
  <c r="N50" i="3"/>
  <c r="F79" i="3"/>
  <c r="I131" i="3"/>
  <c r="D62" i="14"/>
  <c r="E19" i="14"/>
  <c r="D19" i="14" s="1"/>
  <c r="F20" i="14"/>
  <c r="I151" i="3"/>
  <c r="I100" i="3"/>
  <c r="H120" i="3"/>
  <c r="L50" i="3"/>
  <c r="K51" i="3"/>
  <c r="H162" i="3"/>
  <c r="F29" i="14"/>
  <c r="E29" i="14" s="1"/>
  <c r="I81" i="3"/>
  <c r="R21" i="3"/>
  <c r="Q22" i="3"/>
  <c r="Q81" i="3"/>
  <c r="H152" i="3"/>
  <c r="I11" i="3"/>
  <c r="H142" i="3"/>
  <c r="H132" i="3"/>
  <c r="H92" i="3"/>
  <c r="H12" i="3"/>
  <c r="I50" i="3"/>
  <c r="H51" i="3"/>
  <c r="F9" i="14" s="1"/>
  <c r="E9" i="14" s="1"/>
  <c r="R80" i="3"/>
  <c r="Q161" i="3"/>
  <c r="R161" i="3" s="1"/>
  <c r="F133" i="14"/>
  <c r="E133" i="14" s="1"/>
  <c r="L80" i="3"/>
  <c r="F63" i="14"/>
  <c r="E63" i="14" s="1"/>
  <c r="K161" i="3"/>
  <c r="L161" i="3" s="1"/>
  <c r="F55" i="14"/>
  <c r="E54" i="14"/>
  <c r="I119" i="3"/>
  <c r="I141" i="3"/>
  <c r="I22" i="3"/>
  <c r="H82" i="3"/>
  <c r="H23" i="3"/>
  <c r="E89" i="14"/>
  <c r="F90" i="14"/>
  <c r="H111" i="3"/>
  <c r="D8" i="14" s="1"/>
  <c r="L21" i="3"/>
  <c r="K22" i="3"/>
  <c r="K81" i="3"/>
  <c r="D132" i="14"/>
  <c r="H101" i="3"/>
  <c r="I91" i="3"/>
  <c r="G101" i="3"/>
  <c r="E21" i="3" l="1"/>
  <c r="E80" i="3"/>
  <c r="F98" i="14"/>
  <c r="E98" i="14" s="1"/>
  <c r="N161" i="3"/>
  <c r="O161" i="3" s="1"/>
  <c r="F161" i="3" s="1"/>
  <c r="F78" i="14"/>
  <c r="E78" i="14" s="1"/>
  <c r="D97" i="14"/>
  <c r="E160" i="3"/>
  <c r="L7" i="4" s="1"/>
  <c r="M7" i="4" s="1"/>
  <c r="N81" i="3"/>
  <c r="F99" i="14" s="1"/>
  <c r="E99" i="14" s="1"/>
  <c r="O21" i="3"/>
  <c r="F21" i="3" s="1"/>
  <c r="F160" i="3"/>
  <c r="O10" i="3"/>
  <c r="D28" i="14"/>
  <c r="N131" i="3"/>
  <c r="O131" i="3" s="1"/>
  <c r="N91" i="3"/>
  <c r="N101" i="3" s="1"/>
  <c r="N141" i="3"/>
  <c r="O141" i="3" s="1"/>
  <c r="D88" i="14"/>
  <c r="N11" i="3"/>
  <c r="N142" i="3" s="1"/>
  <c r="O142" i="3" s="1"/>
  <c r="O99" i="3"/>
  <c r="E130" i="3"/>
  <c r="R7" i="6" s="1"/>
  <c r="O90" i="3"/>
  <c r="N120" i="3" s="1"/>
  <c r="O120" i="3" s="1"/>
  <c r="R6" i="6"/>
  <c r="U6" i="6" s="1"/>
  <c r="C6" i="2" s="1"/>
  <c r="Q50" i="3"/>
  <c r="R50" i="3" s="1"/>
  <c r="R49" i="3"/>
  <c r="R99" i="3"/>
  <c r="F109" i="3"/>
  <c r="F140" i="3"/>
  <c r="E109" i="3"/>
  <c r="D76" i="14"/>
  <c r="D112" i="14"/>
  <c r="D42" i="14"/>
  <c r="D99" i="3"/>
  <c r="N6" i="4" s="1"/>
  <c r="T6" i="4" s="1"/>
  <c r="E6" i="2" s="1"/>
  <c r="F9" i="3"/>
  <c r="F89" i="3"/>
  <c r="E119" i="3"/>
  <c r="I6" i="4" s="1"/>
  <c r="J6" i="4" s="1"/>
  <c r="R10" i="3"/>
  <c r="Q131" i="3"/>
  <c r="R131" i="3" s="1"/>
  <c r="Q151" i="3"/>
  <c r="R151" i="3" s="1"/>
  <c r="F77" i="14"/>
  <c r="E77" i="14" s="1"/>
  <c r="D6" i="4"/>
  <c r="E140" i="3"/>
  <c r="C7" i="4" s="1"/>
  <c r="D7" i="4" s="1"/>
  <c r="Q141" i="3"/>
  <c r="R141" i="3" s="1"/>
  <c r="O49" i="3"/>
  <c r="L99" i="3"/>
  <c r="R90" i="3"/>
  <c r="Q120" i="3" s="1"/>
  <c r="R120" i="3" s="1"/>
  <c r="Q100" i="3"/>
  <c r="R100" i="3" s="1"/>
  <c r="Q11" i="3"/>
  <c r="Q132" i="3" s="1"/>
  <c r="R132" i="3" s="1"/>
  <c r="D123" i="14"/>
  <c r="E150" i="3"/>
  <c r="K100" i="3"/>
  <c r="E99" i="3"/>
  <c r="O6" i="4" s="1"/>
  <c r="J100" i="3"/>
  <c r="D100" i="3" s="1"/>
  <c r="N7" i="4" s="1"/>
  <c r="T7" i="4" s="1"/>
  <c r="E7" i="2" s="1"/>
  <c r="L10" i="3"/>
  <c r="K11" i="3"/>
  <c r="K112" i="3" s="1"/>
  <c r="L112" i="3" s="1"/>
  <c r="N100" i="3"/>
  <c r="O100" i="3" s="1"/>
  <c r="N110" i="3"/>
  <c r="O110" i="3" s="1"/>
  <c r="F110" i="3" s="1"/>
  <c r="D53" i="14"/>
  <c r="K151" i="3"/>
  <c r="L151" i="3" s="1"/>
  <c r="E90" i="3"/>
  <c r="K141" i="3"/>
  <c r="L141" i="3" s="1"/>
  <c r="K91" i="3"/>
  <c r="E10" i="3"/>
  <c r="F43" i="14"/>
  <c r="E43" i="14" s="1"/>
  <c r="D43" i="14" s="1"/>
  <c r="K131" i="3"/>
  <c r="L131" i="3" s="1"/>
  <c r="F80" i="3"/>
  <c r="D133" i="14"/>
  <c r="E20" i="14"/>
  <c r="D20" i="14" s="1"/>
  <c r="F21" i="14"/>
  <c r="I152" i="3"/>
  <c r="Q162" i="3"/>
  <c r="R162" i="3" s="1"/>
  <c r="F134" i="14"/>
  <c r="E134" i="14" s="1"/>
  <c r="R81" i="3"/>
  <c r="I162" i="3"/>
  <c r="L22" i="3"/>
  <c r="K82" i="3"/>
  <c r="K23" i="3"/>
  <c r="R22" i="3"/>
  <c r="Q82" i="3"/>
  <c r="Q23" i="3"/>
  <c r="L51" i="3"/>
  <c r="K52" i="3"/>
  <c r="N82" i="3"/>
  <c r="O22" i="3"/>
  <c r="N23" i="3"/>
  <c r="L81" i="3"/>
  <c r="F64" i="14"/>
  <c r="E64" i="14" s="1"/>
  <c r="K162" i="3"/>
  <c r="L162" i="3" s="1"/>
  <c r="E22" i="3"/>
  <c r="H133" i="3"/>
  <c r="H153" i="3"/>
  <c r="H93" i="3"/>
  <c r="I12" i="3"/>
  <c r="H143" i="3"/>
  <c r="H13" i="3"/>
  <c r="I132" i="3"/>
  <c r="I120" i="3"/>
  <c r="I23" i="3"/>
  <c r="H83" i="3"/>
  <c r="H24" i="3"/>
  <c r="F119" i="3"/>
  <c r="H121" i="3"/>
  <c r="F91" i="14"/>
  <c r="E90" i="14"/>
  <c r="S6" i="4"/>
  <c r="I142" i="3"/>
  <c r="P101" i="3"/>
  <c r="R91" i="3"/>
  <c r="Q121" i="3" s="1"/>
  <c r="R121" i="3" s="1"/>
  <c r="O50" i="3"/>
  <c r="N51" i="3"/>
  <c r="I82" i="3"/>
  <c r="F30" i="14"/>
  <c r="E30" i="14" s="1"/>
  <c r="H163" i="3"/>
  <c r="E55" i="14"/>
  <c r="F56" i="14"/>
  <c r="I111" i="3"/>
  <c r="I51" i="3"/>
  <c r="H52" i="3"/>
  <c r="G102" i="3"/>
  <c r="H102" i="3"/>
  <c r="I92" i="3"/>
  <c r="I101" i="3"/>
  <c r="N111" i="3"/>
  <c r="O111" i="3" s="1"/>
  <c r="D63" i="14"/>
  <c r="H112" i="3"/>
  <c r="D9" i="14" s="1"/>
  <c r="D29" i="14"/>
  <c r="D98" i="14" l="1"/>
  <c r="E161" i="3"/>
  <c r="L8" i="4" s="1"/>
  <c r="M8" i="4" s="1"/>
  <c r="E81" i="3"/>
  <c r="F130" i="3"/>
  <c r="N162" i="3"/>
  <c r="O162" i="3" s="1"/>
  <c r="F162" i="3" s="1"/>
  <c r="O81" i="3"/>
  <c r="F81" i="3" s="1"/>
  <c r="O91" i="3"/>
  <c r="N121" i="3" s="1"/>
  <c r="O121" i="3" s="1"/>
  <c r="M101" i="3"/>
  <c r="O101" i="3" s="1"/>
  <c r="E91" i="3"/>
  <c r="N132" i="3"/>
  <c r="O132" i="3" s="1"/>
  <c r="S6" i="6"/>
  <c r="N152" i="3"/>
  <c r="O152" i="3" s="1"/>
  <c r="D89" i="14"/>
  <c r="N92" i="3"/>
  <c r="O92" i="3" s="1"/>
  <c r="N122" i="3" s="1"/>
  <c r="O122" i="3" s="1"/>
  <c r="O11" i="3"/>
  <c r="N112" i="3"/>
  <c r="O112" i="3" s="1"/>
  <c r="N12" i="3"/>
  <c r="O12" i="3" s="1"/>
  <c r="D124" i="14"/>
  <c r="Q152" i="3"/>
  <c r="R152" i="3" s="1"/>
  <c r="F10" i="3"/>
  <c r="Q51" i="3"/>
  <c r="Q112" i="3" s="1"/>
  <c r="Q111" i="3"/>
  <c r="E111" i="3" s="1"/>
  <c r="Q101" i="3"/>
  <c r="R101" i="3" s="1"/>
  <c r="F99" i="3"/>
  <c r="R11" i="3"/>
  <c r="D77" i="14"/>
  <c r="U6" i="4"/>
  <c r="F6" i="2" s="1"/>
  <c r="K152" i="3"/>
  <c r="L152" i="3" s="1"/>
  <c r="E151" i="3"/>
  <c r="F151" i="3"/>
  <c r="L100" i="3"/>
  <c r="F100" i="3" s="1"/>
  <c r="F90" i="3"/>
  <c r="E120" i="3"/>
  <c r="I7" i="4" s="1"/>
  <c r="J7" i="4" s="1"/>
  <c r="J101" i="3"/>
  <c r="F120" i="3"/>
  <c r="Q142" i="3"/>
  <c r="R142" i="3" s="1"/>
  <c r="Q12" i="3"/>
  <c r="Q93" i="3" s="1"/>
  <c r="R7" i="4"/>
  <c r="S7" i="4" s="1"/>
  <c r="Q92" i="3"/>
  <c r="F141" i="3"/>
  <c r="P6" i="4"/>
  <c r="K142" i="3"/>
  <c r="L142" i="3" s="1"/>
  <c r="E11" i="3"/>
  <c r="E141" i="3"/>
  <c r="C8" i="4" s="1"/>
  <c r="R8" i="4" s="1"/>
  <c r="D54" i="14"/>
  <c r="F44" i="14"/>
  <c r="E44" i="14" s="1"/>
  <c r="D44" i="14" s="1"/>
  <c r="L91" i="3"/>
  <c r="K121" i="3" s="1"/>
  <c r="L121" i="3" s="1"/>
  <c r="K92" i="3"/>
  <c r="K101" i="3"/>
  <c r="E100" i="3"/>
  <c r="O7" i="4" s="1"/>
  <c r="P7" i="4" s="1"/>
  <c r="L11" i="3"/>
  <c r="E110" i="3"/>
  <c r="K132" i="3"/>
  <c r="L132" i="3" s="1"/>
  <c r="K12" i="3"/>
  <c r="D55" i="14" s="1"/>
  <c r="E131" i="3"/>
  <c r="F131" i="3" s="1"/>
  <c r="E82" i="3"/>
  <c r="D78" i="14"/>
  <c r="D134" i="14"/>
  <c r="D30" i="14"/>
  <c r="F22" i="3"/>
  <c r="I52" i="3"/>
  <c r="H53" i="3"/>
  <c r="H114" i="3" s="1"/>
  <c r="I121" i="3"/>
  <c r="I93" i="3"/>
  <c r="H103" i="3"/>
  <c r="G103" i="3"/>
  <c r="E21" i="14"/>
  <c r="D21" i="14" s="1"/>
  <c r="F22" i="14"/>
  <c r="I112" i="3"/>
  <c r="I163" i="3"/>
  <c r="I153" i="3"/>
  <c r="O82" i="3"/>
  <c r="N163" i="3"/>
  <c r="O163" i="3" s="1"/>
  <c r="F100" i="14"/>
  <c r="E100" i="14" s="1"/>
  <c r="S7" i="6"/>
  <c r="U7" i="6"/>
  <c r="V7" i="6" s="1"/>
  <c r="O23" i="3"/>
  <c r="N83" i="3"/>
  <c r="N24" i="3"/>
  <c r="I24" i="3"/>
  <c r="H25" i="3"/>
  <c r="H84" i="3"/>
  <c r="D6" i="2"/>
  <c r="R23" i="3"/>
  <c r="Q83" i="3"/>
  <c r="Q24" i="3"/>
  <c r="I102" i="3"/>
  <c r="H134" i="3"/>
  <c r="H144" i="3"/>
  <c r="H94" i="3"/>
  <c r="I13" i="3"/>
  <c r="H14" i="3"/>
  <c r="H154" i="3"/>
  <c r="R82" i="3"/>
  <c r="Q163" i="3"/>
  <c r="R163" i="3" s="1"/>
  <c r="F135" i="14"/>
  <c r="E135" i="14" s="1"/>
  <c r="L23" i="3"/>
  <c r="K83" i="3"/>
  <c r="K24" i="3"/>
  <c r="H113" i="3"/>
  <c r="O51" i="3"/>
  <c r="N52" i="3"/>
  <c r="F79" i="14"/>
  <c r="E79" i="14" s="1"/>
  <c r="E23" i="3"/>
  <c r="F10" i="14"/>
  <c r="E10" i="14" s="1"/>
  <c r="D64" i="14"/>
  <c r="K163" i="3"/>
  <c r="L163" i="3" s="1"/>
  <c r="F65" i="14"/>
  <c r="E65" i="14" s="1"/>
  <c r="L82" i="3"/>
  <c r="E56" i="14"/>
  <c r="F57" i="14"/>
  <c r="E91" i="14"/>
  <c r="F92" i="14"/>
  <c r="I133" i="3"/>
  <c r="H122" i="3"/>
  <c r="I83" i="3"/>
  <c r="H164" i="3"/>
  <c r="F31" i="14"/>
  <c r="E31" i="14" s="1"/>
  <c r="I143" i="3"/>
  <c r="L52" i="3"/>
  <c r="K53" i="3"/>
  <c r="V6" i="6"/>
  <c r="E162" i="3" l="1"/>
  <c r="L9" i="4" s="1"/>
  <c r="M9" i="4" s="1"/>
  <c r="D99" i="14"/>
  <c r="D79" i="14"/>
  <c r="N102" i="3"/>
  <c r="M102" i="3"/>
  <c r="D101" i="3"/>
  <c r="N8" i="4" s="1"/>
  <c r="T8" i="4" s="1"/>
  <c r="E8" i="2" s="1"/>
  <c r="E112" i="3"/>
  <c r="N93" i="3"/>
  <c r="O93" i="3" s="1"/>
  <c r="N123" i="3" s="1"/>
  <c r="O123" i="3" s="1"/>
  <c r="D90" i="14"/>
  <c r="F80" i="14"/>
  <c r="E80" i="14" s="1"/>
  <c r="N153" i="3"/>
  <c r="O153" i="3" s="1"/>
  <c r="N13" i="3"/>
  <c r="N134" i="3" s="1"/>
  <c r="O134" i="3" s="1"/>
  <c r="N133" i="3"/>
  <c r="O133" i="3" s="1"/>
  <c r="N143" i="3"/>
  <c r="O143" i="3" s="1"/>
  <c r="R12" i="3"/>
  <c r="F152" i="3"/>
  <c r="R51" i="3"/>
  <c r="Q133" i="3"/>
  <c r="R133" i="3" s="1"/>
  <c r="F11" i="3"/>
  <c r="D113" i="14"/>
  <c r="R111" i="3"/>
  <c r="F111" i="3" s="1"/>
  <c r="Q52" i="3"/>
  <c r="Q113" i="3" s="1"/>
  <c r="D115" i="14" s="1"/>
  <c r="Q102" i="3"/>
  <c r="E152" i="3"/>
  <c r="D8" i="4"/>
  <c r="V6" i="4"/>
  <c r="B10" i="31" s="1"/>
  <c r="E12" i="3"/>
  <c r="Q153" i="3"/>
  <c r="R153" i="3" s="1"/>
  <c r="Q13" i="3"/>
  <c r="Q134" i="3" s="1"/>
  <c r="R134" i="3" s="1"/>
  <c r="K93" i="3"/>
  <c r="L12" i="3"/>
  <c r="D125" i="14"/>
  <c r="F45" i="14"/>
  <c r="E45" i="14" s="1"/>
  <c r="Q143" i="3"/>
  <c r="R143" i="3" s="1"/>
  <c r="F142" i="3"/>
  <c r="K143" i="3"/>
  <c r="L143" i="3" s="1"/>
  <c r="E132" i="3"/>
  <c r="R9" i="6" s="1"/>
  <c r="L101" i="3"/>
  <c r="F101" i="3" s="1"/>
  <c r="U7" i="4"/>
  <c r="F7" i="2" s="1"/>
  <c r="G7" i="2" s="1"/>
  <c r="J7" i="2" s="1"/>
  <c r="E142" i="3"/>
  <c r="C9" i="4" s="1"/>
  <c r="R9" i="4" s="1"/>
  <c r="E92" i="3"/>
  <c r="R92" i="3"/>
  <c r="Q122" i="3" s="1"/>
  <c r="R122" i="3" s="1"/>
  <c r="P102" i="3"/>
  <c r="L92" i="3"/>
  <c r="K122" i="3" s="1"/>
  <c r="L122" i="3" s="1"/>
  <c r="R8" i="6"/>
  <c r="S8" i="6" s="1"/>
  <c r="K102" i="3"/>
  <c r="F121" i="3"/>
  <c r="E121" i="3"/>
  <c r="I8" i="4" s="1"/>
  <c r="J8" i="4" s="1"/>
  <c r="F91" i="3"/>
  <c r="J102" i="3"/>
  <c r="K133" i="3"/>
  <c r="L133" i="3" s="1"/>
  <c r="K113" i="3"/>
  <c r="L113" i="3" s="1"/>
  <c r="E101" i="3"/>
  <c r="O8" i="4" s="1"/>
  <c r="K153" i="3"/>
  <c r="L153" i="3" s="1"/>
  <c r="K13" i="3"/>
  <c r="F23" i="3"/>
  <c r="E83" i="3"/>
  <c r="F82" i="3"/>
  <c r="C7" i="2"/>
  <c r="D7" i="2" s="1"/>
  <c r="I7" i="2" s="1"/>
  <c r="N113" i="3"/>
  <c r="O113" i="3" s="1"/>
  <c r="D135" i="14"/>
  <c r="D31" i="14"/>
  <c r="D65" i="14"/>
  <c r="I154" i="3"/>
  <c r="I122" i="3"/>
  <c r="I113" i="3"/>
  <c r="H95" i="3"/>
  <c r="H155" i="3"/>
  <c r="H145" i="3"/>
  <c r="H15" i="3"/>
  <c r="H135" i="3"/>
  <c r="I14" i="3"/>
  <c r="P103" i="3"/>
  <c r="R93" i="3"/>
  <c r="Q123" i="3" s="1"/>
  <c r="R123" i="3" s="1"/>
  <c r="L53" i="3"/>
  <c r="K54" i="3"/>
  <c r="E92" i="14"/>
  <c r="F93" i="14"/>
  <c r="E93" i="14" s="1"/>
  <c r="O24" i="3"/>
  <c r="N25" i="3"/>
  <c r="N84" i="3"/>
  <c r="F163" i="3"/>
  <c r="I103" i="3"/>
  <c r="Q164" i="3"/>
  <c r="R164" i="3" s="1"/>
  <c r="R83" i="3"/>
  <c r="F136" i="14"/>
  <c r="E136" i="14" s="1"/>
  <c r="O52" i="3"/>
  <c r="N53" i="3"/>
  <c r="I114" i="3"/>
  <c r="I6" i="2"/>
  <c r="E163" i="3"/>
  <c r="L10" i="4" s="1"/>
  <c r="H123" i="3"/>
  <c r="I53" i="3"/>
  <c r="H54" i="3"/>
  <c r="H115" i="3" s="1"/>
  <c r="S8" i="4"/>
  <c r="G104" i="3"/>
  <c r="I94" i="3"/>
  <c r="H104" i="3"/>
  <c r="L24" i="3"/>
  <c r="K84" i="3"/>
  <c r="K25" i="3"/>
  <c r="I144" i="3"/>
  <c r="I25" i="3"/>
  <c r="H85" i="3"/>
  <c r="I134" i="3"/>
  <c r="N164" i="3"/>
  <c r="O164" i="3" s="1"/>
  <c r="O83" i="3"/>
  <c r="F101" i="14"/>
  <c r="E101" i="14" s="1"/>
  <c r="E57" i="14"/>
  <c r="F58" i="14"/>
  <c r="E58" i="14" s="1"/>
  <c r="I164" i="3"/>
  <c r="G6" i="2"/>
  <c r="F66" i="14"/>
  <c r="E66" i="14" s="1"/>
  <c r="L83" i="3"/>
  <c r="K164" i="3"/>
  <c r="L164" i="3" s="1"/>
  <c r="F23" i="14"/>
  <c r="E23" i="14" s="1"/>
  <c r="E22" i="14"/>
  <c r="D22" i="14" s="1"/>
  <c r="F32" i="14"/>
  <c r="E32" i="14" s="1"/>
  <c r="H165" i="3"/>
  <c r="I84" i="3"/>
  <c r="D114" i="14"/>
  <c r="R112" i="3"/>
  <c r="F112" i="3" s="1"/>
  <c r="D10" i="14"/>
  <c r="F11" i="14"/>
  <c r="E11" i="14" s="1"/>
  <c r="D11" i="14" s="1"/>
  <c r="R24" i="3"/>
  <c r="Q84" i="3"/>
  <c r="Q25" i="3"/>
  <c r="E24" i="3"/>
  <c r="D100" i="14"/>
  <c r="D91" i="14" l="1"/>
  <c r="M103" i="3"/>
  <c r="N103" i="3"/>
  <c r="F12" i="3"/>
  <c r="O102" i="3"/>
  <c r="P8" i="4"/>
  <c r="E93" i="3"/>
  <c r="N144" i="3"/>
  <c r="O144" i="3" s="1"/>
  <c r="O13" i="3"/>
  <c r="F81" i="14"/>
  <c r="E81" i="14" s="1"/>
  <c r="N14" i="3"/>
  <c r="N95" i="3" s="1"/>
  <c r="N94" i="3"/>
  <c r="M104" i="3" s="1"/>
  <c r="N154" i="3"/>
  <c r="O154" i="3" s="1"/>
  <c r="Q94" i="3"/>
  <c r="P104" i="3" s="1"/>
  <c r="F132" i="3"/>
  <c r="D126" i="14"/>
  <c r="Q14" i="3"/>
  <c r="Q95" i="3" s="1"/>
  <c r="R13" i="3"/>
  <c r="E13" i="3"/>
  <c r="Q144" i="3"/>
  <c r="R144" i="3" s="1"/>
  <c r="U8" i="6"/>
  <c r="C8" i="2" s="1"/>
  <c r="D8" i="2" s="1"/>
  <c r="I8" i="2" s="1"/>
  <c r="Q154" i="3"/>
  <c r="R154" i="3" s="1"/>
  <c r="K154" i="3"/>
  <c r="L154" i="3" s="1"/>
  <c r="K144" i="3"/>
  <c r="L144" i="3" s="1"/>
  <c r="K114" i="3"/>
  <c r="L114" i="3" s="1"/>
  <c r="R52" i="3"/>
  <c r="Q53" i="3"/>
  <c r="Q114" i="3" s="1"/>
  <c r="R114" i="3" s="1"/>
  <c r="Q103" i="3"/>
  <c r="R103" i="3" s="1"/>
  <c r="R113" i="3"/>
  <c r="F113" i="3" s="1"/>
  <c r="R102" i="3"/>
  <c r="E143" i="3"/>
  <c r="C10" i="4" s="1"/>
  <c r="D10" i="4" s="1"/>
  <c r="F153" i="3"/>
  <c r="F143" i="3"/>
  <c r="K103" i="3"/>
  <c r="J103" i="3"/>
  <c r="L93" i="3"/>
  <c r="K123" i="3" s="1"/>
  <c r="L123" i="3" s="1"/>
  <c r="D9" i="4"/>
  <c r="K134" i="3"/>
  <c r="L134" i="3" s="1"/>
  <c r="V7" i="4"/>
  <c r="B11" i="31" s="1"/>
  <c r="D45" i="14"/>
  <c r="L102" i="3"/>
  <c r="F122" i="3"/>
  <c r="F92" i="3"/>
  <c r="E122" i="3"/>
  <c r="I9" i="4" s="1"/>
  <c r="J9" i="4" s="1"/>
  <c r="E102" i="3"/>
  <c r="O9" i="4" s="1"/>
  <c r="D102" i="3"/>
  <c r="N9" i="4" s="1"/>
  <c r="T9" i="4" s="1"/>
  <c r="E9" i="2" s="1"/>
  <c r="F46" i="14"/>
  <c r="E46" i="14" s="1"/>
  <c r="L13" i="3"/>
  <c r="E133" i="3"/>
  <c r="F133" i="3" s="1"/>
  <c r="K14" i="3"/>
  <c r="F47" i="14" s="1"/>
  <c r="E47" i="14" s="1"/>
  <c r="K94" i="3"/>
  <c r="J104" i="3" s="1"/>
  <c r="U8" i="4"/>
  <c r="E153" i="3"/>
  <c r="D56" i="14"/>
  <c r="N114" i="3"/>
  <c r="O114" i="3" s="1"/>
  <c r="E113" i="3"/>
  <c r="E25" i="3"/>
  <c r="D80" i="14"/>
  <c r="D23" i="14"/>
  <c r="D136" i="14"/>
  <c r="E84" i="3"/>
  <c r="F24" i="3"/>
  <c r="F12" i="14"/>
  <c r="E12" i="14" s="1"/>
  <c r="D12" i="14" s="1"/>
  <c r="D101" i="14"/>
  <c r="F83" i="3"/>
  <c r="D66" i="14"/>
  <c r="E164" i="3"/>
  <c r="L11" i="4" s="1"/>
  <c r="M11" i="4" s="1"/>
  <c r="I115" i="3"/>
  <c r="I85" i="3"/>
  <c r="H166" i="3"/>
  <c r="F33" i="14"/>
  <c r="E33" i="14" s="1"/>
  <c r="L54" i="3"/>
  <c r="K55" i="3"/>
  <c r="L55" i="3" s="1"/>
  <c r="R25" i="3"/>
  <c r="Q85" i="3"/>
  <c r="D32" i="14"/>
  <c r="J6" i="2"/>
  <c r="S9" i="6"/>
  <c r="U9" i="6"/>
  <c r="V9" i="6" s="1"/>
  <c r="R84" i="3"/>
  <c r="Q165" i="3"/>
  <c r="R165" i="3" s="1"/>
  <c r="F137" i="14"/>
  <c r="E137" i="14" s="1"/>
  <c r="I104" i="3"/>
  <c r="I54" i="3"/>
  <c r="H55" i="3"/>
  <c r="I55" i="3" s="1"/>
  <c r="F164" i="3"/>
  <c r="H124" i="3"/>
  <c r="O53" i="3"/>
  <c r="N54" i="3"/>
  <c r="I145" i="3"/>
  <c r="I165" i="3"/>
  <c r="F67" i="14"/>
  <c r="E67" i="14" s="1"/>
  <c r="L84" i="3"/>
  <c r="K165" i="3"/>
  <c r="L165" i="3" s="1"/>
  <c r="M10" i="4"/>
  <c r="I135" i="3"/>
  <c r="C10" i="31"/>
  <c r="S9" i="4"/>
  <c r="H156" i="3"/>
  <c r="I15" i="3"/>
  <c r="H136" i="3"/>
  <c r="H96" i="3"/>
  <c r="H146" i="3"/>
  <c r="I123" i="3"/>
  <c r="O84" i="3"/>
  <c r="N165" i="3"/>
  <c r="O165" i="3" s="1"/>
  <c r="F102" i="14"/>
  <c r="E102" i="14" s="1"/>
  <c r="I155" i="3"/>
  <c r="L25" i="3"/>
  <c r="K85" i="3"/>
  <c r="O25" i="3"/>
  <c r="N85" i="3"/>
  <c r="G105" i="3"/>
  <c r="H105" i="3"/>
  <c r="I95" i="3"/>
  <c r="O103" i="3" l="1"/>
  <c r="D103" i="3"/>
  <c r="N10" i="4" s="1"/>
  <c r="T10" i="4" s="1"/>
  <c r="E10" i="2" s="1"/>
  <c r="O94" i="3"/>
  <c r="N124" i="3" s="1"/>
  <c r="O124" i="3" s="1"/>
  <c r="N104" i="3"/>
  <c r="O104" i="3" s="1"/>
  <c r="D92" i="14"/>
  <c r="N155" i="3"/>
  <c r="O155" i="3" s="1"/>
  <c r="N135" i="3"/>
  <c r="O135" i="3" s="1"/>
  <c r="N145" i="3"/>
  <c r="O145" i="3" s="1"/>
  <c r="N15" i="3"/>
  <c r="D93" i="14" s="1"/>
  <c r="O14" i="3"/>
  <c r="F154" i="3"/>
  <c r="F13" i="3"/>
  <c r="R94" i="3"/>
  <c r="Q124" i="3" s="1"/>
  <c r="R124" i="3" s="1"/>
  <c r="Q155" i="3"/>
  <c r="R155" i="3" s="1"/>
  <c r="Q15" i="3"/>
  <c r="R15" i="3" s="1"/>
  <c r="Q145" i="3"/>
  <c r="R145" i="3" s="1"/>
  <c r="R14" i="3"/>
  <c r="D127" i="14"/>
  <c r="Q135" i="3"/>
  <c r="R135" i="3" s="1"/>
  <c r="F144" i="3"/>
  <c r="R10" i="4"/>
  <c r="S10" i="4" s="1"/>
  <c r="V8" i="6"/>
  <c r="F8" i="2"/>
  <c r="G8" i="2" s="1"/>
  <c r="R10" i="6"/>
  <c r="U10" i="6" s="1"/>
  <c r="V10" i="6" s="1"/>
  <c r="E154" i="3"/>
  <c r="E144" i="3"/>
  <c r="C11" i="4" s="1"/>
  <c r="D11" i="4" s="1"/>
  <c r="D46" i="14"/>
  <c r="K115" i="3"/>
  <c r="L115" i="3" s="1"/>
  <c r="K145" i="3"/>
  <c r="L145" i="3" s="1"/>
  <c r="E103" i="3"/>
  <c r="O10" i="4" s="1"/>
  <c r="R53" i="3"/>
  <c r="D116" i="14"/>
  <c r="Q54" i="3"/>
  <c r="Q55" i="3" s="1"/>
  <c r="R55" i="3" s="1"/>
  <c r="Q104" i="3"/>
  <c r="R104" i="3" s="1"/>
  <c r="F102" i="3"/>
  <c r="E94" i="3"/>
  <c r="F93" i="3"/>
  <c r="E134" i="3"/>
  <c r="F134" i="3" s="1"/>
  <c r="L103" i="3"/>
  <c r="D81" i="14"/>
  <c r="E123" i="3"/>
  <c r="I10" i="4" s="1"/>
  <c r="K155" i="3"/>
  <c r="L155" i="3" s="1"/>
  <c r="D57" i="14"/>
  <c r="K135" i="3"/>
  <c r="L135" i="3" s="1"/>
  <c r="K15" i="3"/>
  <c r="U9" i="4"/>
  <c r="V9" i="4" s="1"/>
  <c r="B13" i="31" s="1"/>
  <c r="E114" i="3"/>
  <c r="F114" i="3"/>
  <c r="P9" i="4"/>
  <c r="E14" i="3"/>
  <c r="K95" i="3"/>
  <c r="J105" i="3" s="1"/>
  <c r="L94" i="3"/>
  <c r="K124" i="3" s="1"/>
  <c r="L124" i="3" s="1"/>
  <c r="K104" i="3"/>
  <c r="L14" i="3"/>
  <c r="V8" i="4"/>
  <c r="B12" i="31" s="1"/>
  <c r="D102" i="14"/>
  <c r="D33" i="14"/>
  <c r="E85" i="3"/>
  <c r="F84" i="3"/>
  <c r="H116" i="3"/>
  <c r="I116" i="3" s="1"/>
  <c r="E165" i="3"/>
  <c r="L12" i="4" s="1"/>
  <c r="M12" i="4" s="1"/>
  <c r="F25" i="3"/>
  <c r="F13" i="14"/>
  <c r="E13" i="14" s="1"/>
  <c r="D104" i="3"/>
  <c r="N11" i="4" s="1"/>
  <c r="T11" i="4" s="1"/>
  <c r="E11" i="2" s="1"/>
  <c r="C9" i="2"/>
  <c r="O54" i="3"/>
  <c r="N55" i="3"/>
  <c r="O55" i="3" s="1"/>
  <c r="F82" i="14"/>
  <c r="E82" i="14" s="1"/>
  <c r="H125" i="3"/>
  <c r="H106" i="3"/>
  <c r="G106" i="3"/>
  <c r="I96" i="3"/>
  <c r="O85" i="3"/>
  <c r="F103" i="14"/>
  <c r="E103" i="14" s="1"/>
  <c r="N166" i="3"/>
  <c r="O166" i="3" s="1"/>
  <c r="N105" i="3"/>
  <c r="M105" i="3"/>
  <c r="O95" i="3"/>
  <c r="N125" i="3" s="1"/>
  <c r="O125" i="3" s="1"/>
  <c r="I146" i="3"/>
  <c r="P17" i="20" s="1"/>
  <c r="I124" i="3"/>
  <c r="I136" i="3"/>
  <c r="F123" i="3"/>
  <c r="D137" i="14"/>
  <c r="R85" i="3"/>
  <c r="F138" i="14"/>
  <c r="E138" i="14" s="1"/>
  <c r="Q166" i="3"/>
  <c r="R166" i="3" s="1"/>
  <c r="I105" i="3"/>
  <c r="C11" i="31"/>
  <c r="K166" i="3"/>
  <c r="L166" i="3" s="1"/>
  <c r="L85" i="3"/>
  <c r="F68" i="14"/>
  <c r="E68" i="14" s="1"/>
  <c r="N115" i="3"/>
  <c r="O115" i="3" s="1"/>
  <c r="F165" i="3"/>
  <c r="R95" i="3"/>
  <c r="Q125" i="3" s="1"/>
  <c r="R125" i="3" s="1"/>
  <c r="P105" i="3"/>
  <c r="K6" i="2"/>
  <c r="I156" i="3"/>
  <c r="D67" i="14"/>
  <c r="I166" i="3"/>
  <c r="Q136" i="3" l="1"/>
  <c r="R136" i="3" s="1"/>
  <c r="S4" i="20" s="1"/>
  <c r="S3" i="20" s="1"/>
  <c r="F155" i="3"/>
  <c r="F103" i="3"/>
  <c r="P10" i="4"/>
  <c r="N136" i="3"/>
  <c r="O136" i="3" s="1"/>
  <c r="R4" i="20" s="1"/>
  <c r="R3" i="20" s="1"/>
  <c r="O15" i="3"/>
  <c r="N156" i="3"/>
  <c r="O156" i="3" s="1"/>
  <c r="N146" i="3"/>
  <c r="O146" i="3" s="1"/>
  <c r="R17" i="20" s="1"/>
  <c r="R16" i="20" s="1"/>
  <c r="N96" i="3"/>
  <c r="M106" i="3" s="1"/>
  <c r="F145" i="3"/>
  <c r="Q96" i="3"/>
  <c r="Q106" i="3" s="1"/>
  <c r="D128" i="14"/>
  <c r="Q146" i="3"/>
  <c r="R146" i="3" s="1"/>
  <c r="S17" i="20" s="1"/>
  <c r="S16" i="20" s="1"/>
  <c r="E15" i="3"/>
  <c r="Q156" i="3"/>
  <c r="R156" i="3" s="1"/>
  <c r="F14" i="3"/>
  <c r="E135" i="3"/>
  <c r="F135" i="3" s="1"/>
  <c r="S10" i="6"/>
  <c r="K146" i="3"/>
  <c r="L146" i="3" s="1"/>
  <c r="Q17" i="20" s="1"/>
  <c r="Q16" i="20" s="1"/>
  <c r="D47" i="14"/>
  <c r="E145" i="3"/>
  <c r="C12" i="4" s="1"/>
  <c r="D12" i="4" s="1"/>
  <c r="R11" i="4"/>
  <c r="S11" i="4" s="1"/>
  <c r="E155" i="3"/>
  <c r="R11" i="6"/>
  <c r="U11" i="6" s="1"/>
  <c r="V11" i="6" s="1"/>
  <c r="U10" i="4"/>
  <c r="V10" i="4" s="1"/>
  <c r="R54" i="3"/>
  <c r="Q115" i="3"/>
  <c r="E115" i="3" s="1"/>
  <c r="E104" i="3"/>
  <c r="O11" i="4" s="1"/>
  <c r="P11" i="4" s="1"/>
  <c r="Q105" i="3"/>
  <c r="R105" i="3" s="1"/>
  <c r="J10" i="4"/>
  <c r="K136" i="3"/>
  <c r="L136" i="3" s="1"/>
  <c r="E4" i="20" s="1"/>
  <c r="E3" i="20" s="1"/>
  <c r="K96" i="3"/>
  <c r="L96" i="3" s="1"/>
  <c r="K126" i="3" s="1"/>
  <c r="L126" i="3" s="1"/>
  <c r="F48" i="14"/>
  <c r="E48" i="14" s="1"/>
  <c r="F9" i="2"/>
  <c r="G9" i="2" s="1"/>
  <c r="J9" i="2" s="1"/>
  <c r="K156" i="3"/>
  <c r="L156" i="3" s="1"/>
  <c r="K116" i="3"/>
  <c r="L116" i="3" s="1"/>
  <c r="Q22" i="20" s="1"/>
  <c r="D58" i="14"/>
  <c r="L15" i="3"/>
  <c r="F15" i="3" s="1"/>
  <c r="K105" i="3"/>
  <c r="L105" i="3" s="1"/>
  <c r="F94" i="3"/>
  <c r="E95" i="3"/>
  <c r="E124" i="3"/>
  <c r="I11" i="4" s="1"/>
  <c r="J11" i="4" s="1"/>
  <c r="L104" i="3"/>
  <c r="F104" i="3" s="1"/>
  <c r="F124" i="3"/>
  <c r="L95" i="3"/>
  <c r="K125" i="3" s="1"/>
  <c r="L125" i="3" s="1"/>
  <c r="N116" i="3"/>
  <c r="O116" i="3" s="1"/>
  <c r="R22" i="20" s="1"/>
  <c r="D13" i="14"/>
  <c r="F85" i="3"/>
  <c r="Q116" i="3"/>
  <c r="R116" i="3" s="1"/>
  <c r="F166" i="3"/>
  <c r="D105" i="3"/>
  <c r="N12" i="4" s="1"/>
  <c r="T12" i="4" s="1"/>
  <c r="E12" i="2" s="1"/>
  <c r="O105" i="3"/>
  <c r="J8" i="2"/>
  <c r="C10" i="2"/>
  <c r="D10" i="2" s="1"/>
  <c r="I10" i="2" s="1"/>
  <c r="E166" i="3"/>
  <c r="L13" i="4" s="1"/>
  <c r="D68" i="14"/>
  <c r="D9" i="2"/>
  <c r="P16" i="20"/>
  <c r="P22" i="20"/>
  <c r="D138" i="14"/>
  <c r="D17" i="20"/>
  <c r="F23" i="20"/>
  <c r="R23" i="20"/>
  <c r="H126" i="3"/>
  <c r="I125" i="3"/>
  <c r="D23" i="20"/>
  <c r="C12" i="31"/>
  <c r="D103" i="14"/>
  <c r="P23" i="20"/>
  <c r="E23" i="20"/>
  <c r="Q23" i="20"/>
  <c r="F83" i="14"/>
  <c r="E83" i="14" s="1"/>
  <c r="I106" i="3"/>
  <c r="D82" i="14"/>
  <c r="L6" i="2"/>
  <c r="K7" i="2"/>
  <c r="S23" i="20"/>
  <c r="G23" i="20"/>
  <c r="P4" i="20"/>
  <c r="D4" i="20"/>
  <c r="G4" i="20" l="1"/>
  <c r="G3" i="20" s="1"/>
  <c r="F4" i="20"/>
  <c r="F3" i="20" s="1"/>
  <c r="F156" i="3"/>
  <c r="P106" i="3"/>
  <c r="R106" i="3" s="1"/>
  <c r="F17" i="20"/>
  <c r="F16" i="20" s="1"/>
  <c r="R12" i="6"/>
  <c r="S12" i="6" s="1"/>
  <c r="O96" i="3"/>
  <c r="N126" i="3" s="1"/>
  <c r="O126" i="3" s="1"/>
  <c r="R20" i="20" s="1"/>
  <c r="N106" i="3"/>
  <c r="O106" i="3" s="1"/>
  <c r="F21" i="20" s="1"/>
  <c r="R96" i="3"/>
  <c r="Q126" i="3" s="1"/>
  <c r="R126" i="3" s="1"/>
  <c r="S20" i="20" s="1"/>
  <c r="G17" i="20"/>
  <c r="G16" i="20" s="1"/>
  <c r="R12" i="4"/>
  <c r="S12" i="4" s="1"/>
  <c r="F146" i="3"/>
  <c r="Q4" i="20"/>
  <c r="Q3" i="20" s="1"/>
  <c r="E17" i="20"/>
  <c r="E16" i="20" s="1"/>
  <c r="E136" i="3"/>
  <c r="F136" i="3" s="1"/>
  <c r="S11" i="6"/>
  <c r="E146" i="3"/>
  <c r="C13" i="4" s="1"/>
  <c r="R13" i="4" s="1"/>
  <c r="R115" i="3"/>
  <c r="F115" i="3" s="1"/>
  <c r="D117" i="14"/>
  <c r="F10" i="2"/>
  <c r="G10" i="2" s="1"/>
  <c r="K106" i="3"/>
  <c r="E156" i="3"/>
  <c r="D48" i="14"/>
  <c r="E96" i="3"/>
  <c r="J106" i="3"/>
  <c r="E105" i="3"/>
  <c r="O12" i="4" s="1"/>
  <c r="P12" i="4" s="1"/>
  <c r="F116" i="3"/>
  <c r="E125" i="3"/>
  <c r="I12" i="4" s="1"/>
  <c r="D83" i="14"/>
  <c r="U11" i="4"/>
  <c r="F11" i="2" s="1"/>
  <c r="G11" i="2" s="1"/>
  <c r="J11" i="2" s="1"/>
  <c r="F95" i="3"/>
  <c r="F125" i="3"/>
  <c r="D118" i="14"/>
  <c r="L7" i="2"/>
  <c r="E116" i="3"/>
  <c r="F105" i="3"/>
  <c r="U23" i="20"/>
  <c r="U17" i="20"/>
  <c r="I126" i="3"/>
  <c r="U16" i="20"/>
  <c r="I9" i="2"/>
  <c r="P21" i="20"/>
  <c r="D21" i="20"/>
  <c r="C11" i="2"/>
  <c r="D11" i="2" s="1"/>
  <c r="I11" i="2" s="1"/>
  <c r="K8" i="2"/>
  <c r="K9" i="2" s="1"/>
  <c r="D3" i="20"/>
  <c r="I23" i="20"/>
  <c r="D16" i="20"/>
  <c r="C13" i="31"/>
  <c r="B14" i="31"/>
  <c r="P3" i="20"/>
  <c r="Q20" i="20"/>
  <c r="E20" i="20"/>
  <c r="M13" i="4"/>
  <c r="L14" i="4"/>
  <c r="I4" i="20" l="1"/>
  <c r="I3" i="20"/>
  <c r="D106" i="3"/>
  <c r="N13" i="4" s="1"/>
  <c r="N14" i="4" s="1"/>
  <c r="U12" i="6"/>
  <c r="V12" i="6" s="1"/>
  <c r="G20" i="20"/>
  <c r="F96" i="3"/>
  <c r="R13" i="6"/>
  <c r="U13" i="6" s="1"/>
  <c r="V13" i="6" s="1"/>
  <c r="E106" i="3"/>
  <c r="O13" i="4" s="1"/>
  <c r="F20" i="20"/>
  <c r="F19" i="20" s="1"/>
  <c r="F15" i="20" s="1"/>
  <c r="E126" i="3"/>
  <c r="I13" i="4" s="1"/>
  <c r="J13" i="4" s="1"/>
  <c r="I17" i="20"/>
  <c r="U4" i="20"/>
  <c r="D13" i="4"/>
  <c r="D15" i="4" s="1"/>
  <c r="U3" i="20"/>
  <c r="C14" i="4"/>
  <c r="S22" i="20"/>
  <c r="U22" i="20" s="1"/>
  <c r="L106" i="3"/>
  <c r="E21" i="20" s="1"/>
  <c r="E19" i="20" s="1"/>
  <c r="E15" i="20" s="1"/>
  <c r="U12" i="4"/>
  <c r="J12" i="4"/>
  <c r="V11" i="4"/>
  <c r="B15" i="31" s="1"/>
  <c r="R21" i="20"/>
  <c r="R19" i="20" s="1"/>
  <c r="R15" i="20" s="1"/>
  <c r="L8" i="2"/>
  <c r="L9" i="2" s="1"/>
  <c r="C14" i="31"/>
  <c r="S13" i="4"/>
  <c r="R14" i="4"/>
  <c r="M15" i="4"/>
  <c r="M14" i="4"/>
  <c r="J10" i="2"/>
  <c r="S21" i="20"/>
  <c r="G21" i="20"/>
  <c r="I16" i="20"/>
  <c r="F126" i="3"/>
  <c r="P20" i="20"/>
  <c r="D20" i="20"/>
  <c r="P13" i="4" l="1"/>
  <c r="P14" i="4" s="1"/>
  <c r="T13" i="4"/>
  <c r="T14" i="4" s="1"/>
  <c r="C12" i="2"/>
  <c r="D12" i="2" s="1"/>
  <c r="I12" i="2" s="1"/>
  <c r="F12" i="2"/>
  <c r="G12" i="2" s="1"/>
  <c r="R14" i="6"/>
  <c r="S13" i="6"/>
  <c r="S15" i="6" s="1"/>
  <c r="G19" i="20"/>
  <c r="G15" i="20" s="1"/>
  <c r="O14" i="4"/>
  <c r="I14" i="4"/>
  <c r="U13" i="4"/>
  <c r="D14" i="4"/>
  <c r="Q21" i="20"/>
  <c r="Q19" i="20" s="1"/>
  <c r="Q15" i="20" s="1"/>
  <c r="F106" i="3"/>
  <c r="V12" i="4"/>
  <c r="B16" i="31" s="1"/>
  <c r="I21" i="20"/>
  <c r="P19" i="20"/>
  <c r="U20" i="20"/>
  <c r="V15" i="6"/>
  <c r="V14" i="6"/>
  <c r="B3" i="31" s="1"/>
  <c r="C3" i="31" s="1"/>
  <c r="C15" i="31"/>
  <c r="U14" i="6"/>
  <c r="D19" i="20"/>
  <c r="I20" i="20"/>
  <c r="S19" i="20"/>
  <c r="S15" i="20" s="1"/>
  <c r="S14" i="4"/>
  <c r="S15" i="4"/>
  <c r="J14" i="4"/>
  <c r="J15" i="4"/>
  <c r="K10" i="2"/>
  <c r="C13" i="2"/>
  <c r="S14" i="6" l="1"/>
  <c r="P15" i="4"/>
  <c r="V13" i="4"/>
  <c r="B17" i="31" s="1"/>
  <c r="B18" i="31" s="1"/>
  <c r="E13" i="2"/>
  <c r="E14" i="2" s="1"/>
  <c r="F13" i="2"/>
  <c r="U14" i="4"/>
  <c r="U21" i="20"/>
  <c r="D13" i="2"/>
  <c r="C14" i="2"/>
  <c r="I19" i="20"/>
  <c r="D15" i="20"/>
  <c r="I15" i="20" s="1"/>
  <c r="C16" i="31"/>
  <c r="D8" i="31"/>
  <c r="D9" i="31" s="1"/>
  <c r="J12" i="2"/>
  <c r="K11" i="2"/>
  <c r="L10" i="2"/>
  <c r="U19" i="20"/>
  <c r="P15" i="20"/>
  <c r="U15" i="20" s="1"/>
  <c r="V14" i="4" l="1"/>
  <c r="V15" i="4"/>
  <c r="J17" i="2" s="1"/>
  <c r="B2" i="7" s="1"/>
  <c r="R7" i="7" s="1"/>
  <c r="G13" i="2"/>
  <c r="J13" i="2" s="1"/>
  <c r="J14" i="2" s="1"/>
  <c r="F14" i="2"/>
  <c r="L11" i="2"/>
  <c r="K12" i="2"/>
  <c r="D10" i="31"/>
  <c r="I13" i="2"/>
  <c r="I14" i="2" s="1"/>
  <c r="J21" i="2" s="1"/>
  <c r="D14" i="2"/>
  <c r="C17" i="31"/>
  <c r="J19" i="2" l="1"/>
  <c r="K13" i="2"/>
  <c r="G14" i="2"/>
  <c r="I7" i="7"/>
  <c r="F7" i="7"/>
  <c r="L7" i="7"/>
  <c r="C7" i="7"/>
  <c r="O7" i="7"/>
  <c r="C42" i="7"/>
  <c r="C26" i="7"/>
  <c r="L12" i="2"/>
  <c r="D11" i="31"/>
  <c r="D12" i="31" s="1"/>
  <c r="J22" i="2"/>
  <c r="K14" i="2"/>
  <c r="L13" i="2" l="1"/>
  <c r="D13" i="31"/>
  <c r="D14" i="31" l="1"/>
  <c r="D15" i="31" l="1"/>
  <c r="D16" i="31" s="1"/>
  <c r="D17" i="31" s="1"/>
  <c r="D3" i="35"/>
  <c r="D4" i="35" s="1"/>
  <c r="D5" i="35" s="1"/>
  <c r="D6" i="35" s="1"/>
  <c r="D7" i="35" s="1"/>
  <c r="D8" i="35" s="1"/>
  <c r="D9" i="35" s="1"/>
  <c r="D10" i="35" s="1"/>
  <c r="D11" i="35" s="1"/>
  <c r="D12" i="35" s="1"/>
  <c r="D13" i="35" s="1"/>
  <c r="D14" i="35" s="1"/>
  <c r="D15" i="35" s="1"/>
  <c r="D16" i="35" s="1"/>
  <c r="D17" i="35" l="1"/>
  <c r="D18" i="35" l="1"/>
  <c r="D19" i="35" s="1"/>
  <c r="D20" i="35" s="1"/>
  <c r="D21" i="35" s="1"/>
  <c r="D22" i="35" s="1"/>
  <c r="D23" i="35" s="1"/>
  <c r="D24" i="35" s="1"/>
  <c r="D25" i="35" l="1"/>
  <c r="D26" i="35" s="1"/>
  <c r="D27" i="35" s="1"/>
  <c r="D28" i="35" s="1"/>
  <c r="D29" i="35" s="1"/>
  <c r="D30" i="35" s="1"/>
  <c r="D31" i="35" s="1"/>
  <c r="B37" i="35" l="1"/>
  <c r="B39" i="3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VLK</author>
  </authors>
  <commentList>
    <comment ref="A1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>http://www.informatizacia.sk/ext_dok-opii-usmernenie-k-cba---agendove-is-20/27277c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VLK</author>
  </authors>
  <commentList>
    <comment ref="D4" authorId="0" shapeId="0" xr:uid="{00000000-0006-0000-0200-000001000000}">
      <text>
        <r>
          <rPr>
            <sz val="8"/>
            <color indexed="81"/>
            <rFont val="Tahoma"/>
            <family val="2"/>
            <charset val="238"/>
          </rPr>
          <t>Parametre - Agendové IS</t>
        </r>
      </text>
    </comment>
    <comment ref="D6" authorId="0" shapeId="0" xr:uid="{00000000-0006-0000-0200-000002000000}">
      <text>
        <r>
          <rPr>
            <sz val="8"/>
            <color indexed="81"/>
            <rFont val="Tahoma"/>
            <family val="2"/>
            <charset val="238"/>
          </rPr>
          <t>TCO ToBe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KPMG</author>
  </authors>
  <commentList>
    <comment ref="I14" authorId="0" shapeId="0" xr:uid="{00000000-0006-0000-0300-000001000000}">
      <text>
        <r>
          <rPr>
            <sz val="8"/>
            <color indexed="81"/>
            <rFont val="Tahoma"/>
            <family val="2"/>
            <charset val="238"/>
          </rPr>
          <t>ocakavame zapornu hodnotu
tato zaporna hodnota ma zodpovedat max. fin. pomoci z SF</t>
        </r>
      </text>
    </comment>
    <comment ref="J14" authorId="0" shapeId="0" xr:uid="{00000000-0006-0000-0300-000002000000}">
      <text>
        <r>
          <rPr>
            <sz val="8"/>
            <color indexed="81"/>
            <rFont val="Tahoma"/>
            <family val="2"/>
            <charset val="238"/>
          </rPr>
          <t>ocakavame kladnu hodnotu (moze byt aj nizko nad nulou)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VLK</author>
  </authors>
  <commentList>
    <comment ref="B3" authorId="0" shapeId="0" xr:uid="{00000000-0006-0000-0600-000001000000}">
      <text>
        <r>
          <rPr>
            <sz val="8"/>
            <color indexed="81"/>
            <rFont val="Tahoma"/>
            <family val="2"/>
            <charset val="238"/>
          </rPr>
          <t>Parametre</t>
        </r>
      </text>
    </comment>
    <comment ref="V4" authorId="0" shapeId="0" xr:uid="{00000000-0006-0000-0600-000002000000}">
      <text>
        <r>
          <rPr>
            <b/>
            <sz val="8"/>
            <color indexed="81"/>
            <rFont val="Tahoma"/>
            <family val="2"/>
            <charset val="238"/>
          </rPr>
          <t>VLK: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VLK</author>
    <author>tc={59F3AEC6-BE2E-4590-B70A-A5960AE87347}</author>
  </authors>
  <commentList>
    <comment ref="A26" authorId="0" shapeId="0" xr:uid="{00000000-0006-0000-0800-000001000000}">
      <text>
        <r>
          <rPr>
            <b/>
            <sz val="8"/>
            <color indexed="81"/>
            <rFont val="Tahoma"/>
            <family val="2"/>
            <charset val="238"/>
          </rPr>
          <t>EY:</t>
        </r>
        <r>
          <rPr>
            <sz val="8"/>
            <color indexed="81"/>
            <rFont val="Tahoma"/>
            <family val="2"/>
            <charset val="238"/>
          </rPr>
          <t xml:space="preserve">
Ročný počet vydaných správ a rozhodnutí je nízky (nevýznamný) k materiálovým nákladom a neovplyvní CBA.</t>
        </r>
      </text>
    </comment>
    <comment ref="J46" authorId="1" shapeId="0" xr:uid="{59F3AEC6-BE2E-4590-B70A-A5960AE8734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Pripočítaný vplyv prínosu z umožnenia práce na ďiaľku v rámci prípravy na kontrolu - ref. záložka Faktory
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G130" authorId="0" shapeId="0" xr:uid="{40F42597-98EB-47AA-B164-C7C50B11EEBA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Sumy zahŕňajú výdavky na všetky moduly spolu. Suma zahŕňa šetky výdavky na kapacity na strane SIŽP a to aj na role mimo projektového riadenia ako aj zariadenia pre potreby PM.</t>
        </r>
      </text>
    </comment>
    <comment ref="G140" authorId="0" shapeId="0" xr:uid="{B98113A8-F799-4D93-982F-BD172A6BAC59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Sumy zahŕňajú výdavky na všetky moduly spolu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VLK</author>
  </authors>
  <commentList>
    <comment ref="G41" authorId="0" shapeId="0" xr:uid="{00000000-0006-0000-0D00-000001000000}">
      <text>
        <r>
          <rPr>
            <sz val="8"/>
            <color indexed="81"/>
            <rFont val="Tahoma"/>
            <family val="2"/>
            <charset val="238"/>
          </rPr>
          <t>Predpokladá sa plná výmena zariadení po 7 rokoch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Beck Zuzana</author>
  </authors>
  <commentList>
    <comment ref="Q52" authorId="0" shapeId="0" xr:uid="{55E24EA9-3A25-446A-AA54-5FBD4EE9DACA}">
      <text>
        <r>
          <rPr>
            <b/>
            <sz val="9"/>
            <color indexed="81"/>
            <rFont val="Segoe UI"/>
            <family val="2"/>
            <charset val="238"/>
          </rPr>
          <t>Beck Zuzana:</t>
        </r>
        <r>
          <rPr>
            <sz val="9"/>
            <color indexed="81"/>
            <rFont val="Segoe UI"/>
            <family val="2"/>
            <charset val="238"/>
          </rPr>
          <t xml:space="preserve">
Táto položka je zjednotená za celý balík softwéru</t>
        </r>
      </text>
    </comment>
    <comment ref="J149" authorId="0" shapeId="0" xr:uid="{8AE7581E-C675-4330-AFBD-B6F24ABAD36B}">
      <text>
        <r>
          <rPr>
            <b/>
            <sz val="9"/>
            <color indexed="81"/>
            <rFont val="Segoe UI"/>
            <family val="2"/>
            <charset val="238"/>
          </rPr>
          <t>Beck Zuzana:</t>
        </r>
        <r>
          <rPr>
            <sz val="9"/>
            <color indexed="81"/>
            <rFont val="Segoe UI"/>
            <family val="2"/>
            <charset val="238"/>
          </rPr>
          <t xml:space="preserve">
cena Podľa poslednej verzie príručky pre žiadateľa.
</t>
        </r>
      </text>
    </comment>
    <comment ref="J150" authorId="0" shapeId="0" xr:uid="{C1D5BF5E-7480-4605-AAAB-B7EC609AA579}">
      <text>
        <r>
          <rPr>
            <b/>
            <sz val="9"/>
            <color indexed="81"/>
            <rFont val="Segoe UI"/>
            <family val="2"/>
            <charset val="238"/>
          </rPr>
          <t>Beck Zuzana:</t>
        </r>
        <r>
          <rPr>
            <sz val="9"/>
            <color indexed="81"/>
            <rFont val="Segoe UI"/>
            <family val="2"/>
            <charset val="238"/>
          </rPr>
          <t xml:space="preserve">
cena Podľa poslednej verzie príručky pre žiadateľa.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tc={45BDD029-02AB-46C2-BFD0-CAA1E9BDAAFB}</author>
    <author>tc={F15B7CCD-4908-476B-B899-55E10BBCDD16}</author>
  </authors>
  <commentList>
    <comment ref="AH7" authorId="0" shapeId="0" xr:uid="{45BDD029-02AB-46C2-BFD0-CAA1E9BDAAFB}">
      <text>
        <t>[Threaded comment]
Your version of Excel allows you to read this threaded comment; however, any edits to it will get removed if the file is opened in a newer version of Excel. Learn more: https://go.microsoft.com/fwlink/?linkid=870924
Comment:
    Zohľadnené KPI zvýšenia počtu zistení v TOBE z 34% na 40%</t>
      </text>
    </comment>
    <comment ref="AI7" authorId="1" shapeId="0" xr:uid="{F15B7CCD-4908-476B-B899-55E10BBCDD16}">
      <text>
        <t>[Threaded comment]
Your version of Excel allows you to read this threaded comment; however, any edits to it will get removed if the file is opened in a newer version of Excel. Learn more: https://go.microsoft.com/fwlink/?linkid=870924
Comment:
    Zohľadnené KPI zvýšenia počtu zistení v TOBE z 34% na 40%</t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Krok Martin</author>
  </authors>
  <commentList>
    <comment ref="AG119" authorId="0" shapeId="0" xr:uid="{00000000-0006-0000-1900-000001000000}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  <comment ref="AH119" authorId="0" shapeId="0" xr:uid="{00000000-0006-0000-1900-000002000000}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  <comment ref="AI119" authorId="0" shapeId="0" xr:uid="{00000000-0006-0000-1900-000003000000}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  <comment ref="AP119" authorId="0" shapeId="0" xr:uid="{00000000-0006-0000-1900-000004000000}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</commentList>
</comments>
</file>

<file path=xl/sharedStrings.xml><?xml version="1.0" encoding="utf-8"?>
<sst xmlns="http://schemas.openxmlformats.org/spreadsheetml/2006/main" count="6422" uniqueCount="1122">
  <si>
    <t>Názov</t>
  </si>
  <si>
    <t>Popis</t>
  </si>
  <si>
    <t>Hodnota</t>
  </si>
  <si>
    <t>Životnosť projektu (t)</t>
  </si>
  <si>
    <t>Referenčné obdobie je počet rokov, na ktorý sa vo finančnej analýze (analýze nákladov a výnosov) uvádzajú predpovede. Predpovede týkajúce sa budúceho trendu projektu by sa mali formulovať na obdobie, ktoré je primerané jeho ekonomicky užitočnému trvaniu a ktoré je dosť dlhé na to, aby zahŕňalo jeho pravdepodobné dlhodobejšie dosahy. Ide o časové obdobie, kedy je možné overiť úspešnosť investície. Trvanie sa mení podľa povahy investície. Referenčný časový horizont v rokoch podľa sektorov je uvedený podľa prílohy 1 Delegovaného nariadenia Komisie (EÚ) 480/2014 z 3. marca 2014, ktorým sa dopĺňa všeobecné nariadenie.</t>
  </si>
  <si>
    <t>Referenčná diskontná sadzba (i)</t>
  </si>
  <si>
    <t>Sociálna diskontná sadzba (r)</t>
  </si>
  <si>
    <t>Cieľom CBA je preukázať pri štrukturálne významných investíciách, že ekonomická čistá súčasná hodnota za dané obdobie a pri stanovenej sociálnej diskontnej sadzbe je kladná.</t>
  </si>
  <si>
    <t>Diskontovanie odhadovaných nákladov a prínosov: keď sa odhadne tok ekonomických nákladov a prínosov, mala by sa uplatniť štandardná diskontovaná metodika peňažného toku pomocou sociálnej diskontnej sadzby</t>
  </si>
  <si>
    <t>Osobné náklady (Cper)</t>
  </si>
  <si>
    <t>Jednotka</t>
  </si>
  <si>
    <t>rok</t>
  </si>
  <si>
    <t>%</t>
  </si>
  <si>
    <t>EUR</t>
  </si>
  <si>
    <t xml:space="preserve">Diskontná sadzba, ktorá sa má používať vo finančnej analýze má informovať investora o alternatívnych kapitálových nákladoch. Môže sa za ňu považovať ušlý výnos najlepšieho alternatívneho projektu.
V prípade verejných investičných projektov spolufinancovaných z fondov sa stanovuje 4 % finančná diskontná sadzbu pre výpočet čistej súčasnej hodnoty investície v stálych cenách roku predloženia žiadosti o NFP.
</t>
  </si>
  <si>
    <t>EUR/hod</t>
  </si>
  <si>
    <t>Čistá súčasná hodnota z projektu</t>
  </si>
  <si>
    <t>Finančné prínosy</t>
  </si>
  <si>
    <t>Ekonomické prínosy</t>
  </si>
  <si>
    <t>koeficient obdobia</t>
  </si>
  <si>
    <t>Finančná (FNPV)</t>
  </si>
  <si>
    <t>Ekonomická (ENPV)</t>
  </si>
  <si>
    <t>Kumulovaná diskont. návratnosť ENPV</t>
  </si>
  <si>
    <t>Obdobie</t>
  </si>
  <si>
    <t>rozdiel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</si>
  <si>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</si>
  <si>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</si>
  <si>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</si>
  <si>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</si>
  <si>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</si>
  <si>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</si>
  <si>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</si>
  <si>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</si>
  <si>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</si>
  <si>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</si>
  <si>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SPOLU</t>
  </si>
  <si>
    <t>Cashflow projektu</t>
  </si>
  <si>
    <t>počet / rok</t>
  </si>
  <si>
    <t>hod.</t>
  </si>
  <si>
    <t>Kvalitatívne prínosy</t>
  </si>
  <si>
    <t>Parameter</t>
  </si>
  <si>
    <t>Počet podaní</t>
  </si>
  <si>
    <t>Výška administratívneho poplatku</t>
  </si>
  <si>
    <t>Počet zamestnancov vybavujúcich agendu</t>
  </si>
  <si>
    <t>Priame prínosy</t>
  </si>
  <si>
    <t>Nepriame prínosy</t>
  </si>
  <si>
    <t>Prínosy spolu</t>
  </si>
  <si>
    <t>Administratívne poplatky</t>
  </si>
  <si>
    <t>Ostatné daňové a nedaňové príjmy</t>
  </si>
  <si>
    <t>Cena ušetreného času používateľa</t>
  </si>
  <si>
    <t>Kvalitatívne prínosy vo finančnom vyjadrení</t>
  </si>
  <si>
    <t>Organizácia</t>
  </si>
  <si>
    <t>Ulica</t>
  </si>
  <si>
    <t>PSČ</t>
  </si>
  <si>
    <t>Web</t>
  </si>
  <si>
    <t>IČO</t>
  </si>
  <si>
    <t>Spracovateľ</t>
  </si>
  <si>
    <t xml:space="preserve">Kontakt na spracovateľa    </t>
  </si>
  <si>
    <t>Hlavička tabuľky</t>
  </si>
  <si>
    <t>Popisná informácia</t>
  </si>
  <si>
    <t>Metodický pokyn k vypracovaniu finančnej analýzy projektu, analýzy nákladov a prínosov projektu a finančnej analýzy žiadateľa o NFP v programovom období 2014 – 2020.</t>
  </si>
  <si>
    <t>Jednotlivé informácie sú farebne odlíšené nasledovne:</t>
  </si>
  <si>
    <t>Automaticky vypočitavané hodnoty</t>
  </si>
  <si>
    <t>Miesto na vpisovanie vlastných hodnôt</t>
  </si>
  <si>
    <t>Preddefinované konštanty</t>
  </si>
  <si>
    <t>Pre projekty zamerané na služby agendových informačných systémov</t>
  </si>
  <si>
    <t>HW</t>
  </si>
  <si>
    <t>SW</t>
  </si>
  <si>
    <t>Všeobecný materiál</t>
  </si>
  <si>
    <t>Variabilné výdavky</t>
  </si>
  <si>
    <t>Výdavky spolu</t>
  </si>
  <si>
    <t>ENPV</t>
  </si>
  <si>
    <t>Obstaranie, inštalácia SW produktu vrátane licencie k SW</t>
  </si>
  <si>
    <t>013 Softvér</t>
  </si>
  <si>
    <t>Kód EKO klasifikácie</t>
  </si>
  <si>
    <t>Účet/skupina výdavkov</t>
  </si>
  <si>
    <t>Vytvorenie aplikácie</t>
  </si>
  <si>
    <t>Školenia spojené so SW a aplikáciou</t>
  </si>
  <si>
    <t>518 Ostatné služby</t>
  </si>
  <si>
    <t>Prevádzka vytvoreného riešenia</t>
  </si>
  <si>
    <t>Poplatky vlastníkovi SW produktu - údržba / support k licenciám</t>
  </si>
  <si>
    <t>511 Opravy a udržiavanie</t>
  </si>
  <si>
    <t>Upgrade SW produktu</t>
  </si>
  <si>
    <t>Poplatky za udržanie funkčnosti / dostupnosti aplikácie / update</t>
  </si>
  <si>
    <t>Aplikačná podpora / helpdesk</t>
  </si>
  <si>
    <t>Rozvoj - doplnenie funkcionality aplikácie / upgrade</t>
  </si>
  <si>
    <t>Personálne náklady spojené s prevádzkou SW produktu a aplikácie</t>
  </si>
  <si>
    <t>521 Mzdové výdavky</t>
  </si>
  <si>
    <t>Obstaranie</t>
  </si>
  <si>
    <t>Prevádzka riešenia</t>
  </si>
  <si>
    <t>Nákup, inštalácia a sprevádzkovanie HW 
vrátane systémového SW</t>
  </si>
  <si>
    <t>Nákup, inštalácia a sprevádzkovanie HW
 vrátane systémového SW</t>
  </si>
  <si>
    <t>Školenia spojené s HW</t>
  </si>
  <si>
    <t>022 Samostatné hnuteľné veci
 a súbory hnuteľných vecí</t>
  </si>
  <si>
    <t>Poplatky dodávateľovi podpory HW - údržba/maintenance</t>
  </si>
  <si>
    <t>Upgrade HW</t>
  </si>
  <si>
    <t>Náklady na priestory, energie</t>
  </si>
  <si>
    <t>Personálne náklady spojené s prevádzkou HW</t>
  </si>
  <si>
    <t>Celkové náklady na vlastníctvo (TCO)</t>
  </si>
  <si>
    <t>Rok</t>
  </si>
  <si>
    <t>HW sumár obstaranie</t>
  </si>
  <si>
    <t>HW sumár prevádzka</t>
  </si>
  <si>
    <t xml:space="preserve">Spolu </t>
  </si>
  <si>
    <t>Spolu</t>
  </si>
  <si>
    <t>SW produkty</t>
  </si>
  <si>
    <t>Aplikácie</t>
  </si>
  <si>
    <t>SW produkty - sumár obstaranie</t>
  </si>
  <si>
    <t>SW produkty - sumár prevádzka</t>
  </si>
  <si>
    <t>Aplikácie - sumár obstaranie</t>
  </si>
  <si>
    <t>Aplikácie - sumár prevádzka</t>
  </si>
  <si>
    <t xml:space="preserve">Prvý rok, ktorým výpočet CBA a TCO začína, rok začatia projektu </t>
  </si>
  <si>
    <t>Príloha pre výpočet TCO a čistej súčasnej hodnoty z projektu</t>
  </si>
  <si>
    <t>Názov riešenia</t>
  </si>
  <si>
    <t>112 Zásoby</t>
  </si>
  <si>
    <t>Kód ISVS z MetaIS</t>
  </si>
  <si>
    <t>Číslo projektu ITMS</t>
  </si>
  <si>
    <t>Vytvorenie riešenia - obstaranie</t>
  </si>
  <si>
    <t>BCR</t>
  </si>
  <si>
    <t>Výstup/funkcionalita projektu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</si>
  <si>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</si>
  <si>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</si>
  <si>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</si>
  <si>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</si>
  <si>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</si>
  <si>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</si>
  <si>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</si>
  <si>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</si>
  <si>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</si>
  <si>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</si>
  <si>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</si>
  <si>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</si>
  <si>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</si>
  <si>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</si>
  <si>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</si>
  <si>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</si>
  <si>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</si>
  <si>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</si>
  <si>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</si>
  <si>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</si>
  <si>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</si>
  <si>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</si>
  <si>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M24</t>
  </si>
  <si>
    <t>Počet dní interné</t>
  </si>
  <si>
    <t>Počet dní externé</t>
  </si>
  <si>
    <t>Pocet FTE interne</t>
  </si>
  <si>
    <t>Pocet FTE externe</t>
  </si>
  <si>
    <t>Suma interné</t>
  </si>
  <si>
    <t>Publicita a informovanosť</t>
  </si>
  <si>
    <t xml:space="preserve">Projektové riadenie </t>
  </si>
  <si>
    <t>INDIKATÍVNY ROZPOČET SPOLU</t>
  </si>
  <si>
    <t>Rozdiel</t>
  </si>
  <si>
    <t>NPV</t>
  </si>
  <si>
    <t>HW (aj systémový SW) sumár obstaranie</t>
  </si>
  <si>
    <t>HW (aj systémový SW) sumár prevádzka</t>
  </si>
  <si>
    <t>organizácia B</t>
  </si>
  <si>
    <t>organizácia C</t>
  </si>
  <si>
    <t>TO BE</t>
  </si>
  <si>
    <t>organizácia ...</t>
  </si>
  <si>
    <t>Výsledná hodnota</t>
  </si>
  <si>
    <t>Všetky prínosové položky sú automaticky vypočítané na základe údajov uvedených v záložkách TCO, spotrebované cloudové služby a Parametre - Agendové IS</t>
  </si>
  <si>
    <t>Všetky výdavkové položky sú automaticky vypočítané na základe údajov uvedených v záložkách TCO a Parametre - Agendové IS</t>
  </si>
  <si>
    <t>FIRR</t>
  </si>
  <si>
    <t>EIRR</t>
  </si>
  <si>
    <t>FNPV</t>
  </si>
  <si>
    <t>pomer prínosov a nákladov</t>
  </si>
  <si>
    <t>finančná vnútorná výnosová miera (%)</t>
  </si>
  <si>
    <t>ekonomická vnútorná výnosová miera (%)</t>
  </si>
  <si>
    <t>Minimálna hodnota</t>
  </si>
  <si>
    <t>-</t>
  </si>
  <si>
    <t>Výsledok CBA</t>
  </si>
  <si>
    <t>Priemerná mzda vo verejnej správe (aktuálna, W_ps)</t>
  </si>
  <si>
    <t xml:space="preserve">Priemerná mzda v NH (Cperc) </t>
  </si>
  <si>
    <t>Náklady IT systém</t>
  </si>
  <si>
    <t>FTE úradník</t>
  </si>
  <si>
    <t>FTE</t>
  </si>
  <si>
    <t>Administrtívny poplatok</t>
  </si>
  <si>
    <t>človeko-hod.</t>
  </si>
  <si>
    <t>Cena ušetreného času používateľa
(S pravidlom polovice)</t>
  </si>
  <si>
    <t>Cena ušetreného času úradníka</t>
  </si>
  <si>
    <t>Materiálové náklady</t>
  </si>
  <si>
    <t>Čas potrebný na vypracovanie a doručenie podania (ušetrený čas používateľa)</t>
  </si>
  <si>
    <t>Trvanie spracovania podania (ušetrený čas úradníka)</t>
  </si>
  <si>
    <t>Zníženie kvalitatívnych prínosov</t>
  </si>
  <si>
    <t>Zníženie očakávaného ušetreného času úradníka</t>
  </si>
  <si>
    <t>Zníženie očakávaného ušetreného času používateľa</t>
  </si>
  <si>
    <t>Zníženie počtu podaní v budúcom stave</t>
  </si>
  <si>
    <t>Zvýšenie nákladov - TCO celkovo</t>
  </si>
  <si>
    <t>Zvýšenie CAPEX</t>
  </si>
  <si>
    <t>Minimálny počet MD</t>
  </si>
  <si>
    <t>Maximálny počet MD</t>
  </si>
  <si>
    <t>Priemerný MD rate</t>
  </si>
  <si>
    <t>Maximálna suma</t>
  </si>
  <si>
    <t>Minimálna suma</t>
  </si>
  <si>
    <t>Vyplní oslovený dodávateľ</t>
  </si>
  <si>
    <t>Ročná prevádzka celého systému (SLA) vrátane zmenových konaní</t>
  </si>
  <si>
    <t>Vyplní spracovateľ projektu</t>
  </si>
  <si>
    <t>Výstup/funkcionalita projektu
(všetky náklady vrátane analýzy, dizajnu, testovania a nasadenia)</t>
  </si>
  <si>
    <t>Vysvetlenie rozptylu medzi minimálnou a maximálnou sumou 
(nepovinné)</t>
  </si>
  <si>
    <t>Prínosy</t>
  </si>
  <si>
    <t xml:space="preserve">Úradníci (€) </t>
  </si>
  <si>
    <t>Občania (€)</t>
  </si>
  <si>
    <t>Úradníci (FTE)</t>
  </si>
  <si>
    <t>IT - CAPEX</t>
  </si>
  <si>
    <t>IT - OPEX</t>
  </si>
  <si>
    <t>N/A</t>
  </si>
  <si>
    <t>Nevyčíslené spoločenské prínosy</t>
  </si>
  <si>
    <t>...</t>
  </si>
  <si>
    <t>Aplikačný modul - SW a Aplikácie</t>
  </si>
  <si>
    <t>Aplikačný modul - HW</t>
  </si>
  <si>
    <r>
      <t xml:space="preserve">Sem prosím vložte procesnú mapu stavu </t>
    </r>
    <r>
      <rPr>
        <b/>
        <sz val="11"/>
        <color theme="1"/>
        <rFont val="Calibri"/>
        <family val="2"/>
        <charset val="238"/>
        <scheme val="minor"/>
      </rPr>
      <t>AS IS</t>
    </r>
    <r>
      <rPr>
        <sz val="11"/>
        <color theme="1"/>
        <rFont val="Calibri"/>
        <family val="2"/>
        <charset val="238"/>
        <scheme val="minor"/>
      </rPr>
      <t xml:space="preserve"> a stavu </t>
    </r>
    <r>
      <rPr>
        <b/>
        <sz val="11"/>
        <color theme="1"/>
        <rFont val="Calibri"/>
        <family val="2"/>
        <charset val="238"/>
        <scheme val="minor"/>
      </rPr>
      <t>TO BE</t>
    </r>
  </si>
  <si>
    <t>AS IS</t>
  </si>
  <si>
    <t>Procesy na strane úradníka (časové hodnoty)</t>
  </si>
  <si>
    <t>prosím doplňte časové trvanie aktivity (vložením "1")</t>
  </si>
  <si>
    <t>Zoznam hárkov s vysvetlením a pokynmi</t>
  </si>
  <si>
    <t>Sumarizácia</t>
  </si>
  <si>
    <t>CBA</t>
  </si>
  <si>
    <t>Analyza citlivosti</t>
  </si>
  <si>
    <t>Výdavky</t>
  </si>
  <si>
    <t>Parametre</t>
  </si>
  <si>
    <t>TCO</t>
  </si>
  <si>
    <t>TCO Alt. 1 - SW</t>
  </si>
  <si>
    <t>TCO Alt. 1 - HW</t>
  </si>
  <si>
    <t>TCO Alt. 2 - SW</t>
  </si>
  <si>
    <t>TCO Alt. 2 - HW</t>
  </si>
  <si>
    <t>Rozpočet - vývoj aplikácii</t>
  </si>
  <si>
    <t>Rozdiel
(voči min. riešenia navrhovaneho obstarávateĹom)</t>
  </si>
  <si>
    <t>Popis zmien v alternatívnom riešení
(nepovinné)</t>
  </si>
  <si>
    <t>Alternatívne riešeine
(nepovinné)</t>
  </si>
  <si>
    <t>Riešenie navrhované obstarávateľom</t>
  </si>
  <si>
    <t>Slepý rozpočet</t>
  </si>
  <si>
    <t>Faktory</t>
  </si>
  <si>
    <t>Meranie prínosov</t>
  </si>
  <si>
    <t>Procesné mapy</t>
  </si>
  <si>
    <t>Procesy AS IS</t>
  </si>
  <si>
    <t>Procesy TO BE</t>
  </si>
  <si>
    <t>Hárok</t>
  </si>
  <si>
    <t>Účel hárku</t>
  </si>
  <si>
    <t>Vymenovanie a popísanie nevyčíslených spoločenských prínosov</t>
  </si>
  <si>
    <t>Sumarizácia výsledkov CBA podľa prínosov a modulov</t>
  </si>
  <si>
    <t>Výsledky CBA na agregátnej úrovni, výpočet BCR</t>
  </si>
  <si>
    <t>Žiadne</t>
  </si>
  <si>
    <t>Vstupy od zhotoviteľa (žlté polia)</t>
  </si>
  <si>
    <t>Automatický výpočet citlivosti výsledkov CBA na zmeny parametrov</t>
  </si>
  <si>
    <t>Výpočet prínosov projektu na základe vstupných parametrov</t>
  </si>
  <si>
    <t>Výpočet výdavkov projektu na základe vstupných parametrov</t>
  </si>
  <si>
    <t>Polia "Ostatné daňové a nedaňové príjmy" (ak projekt také generuje)</t>
  </si>
  <si>
    <t>Vstupné parametre pre jednotlivé moduly/životné situácie: počty podaní, trvania času</t>
  </si>
  <si>
    <t>Všetky relevantné žlté polia</t>
  </si>
  <si>
    <t>Zhrnutie celkových nákladov na vlastníctvo oboch alternatív projektu</t>
  </si>
  <si>
    <t xml:space="preserve">Náklady na vlastníctvo softvéru alternatívy 1 (AS IS) </t>
  </si>
  <si>
    <t xml:space="preserve">Náklady na vlastníctvo hardvéru alternatívy 1 (AS IS) </t>
  </si>
  <si>
    <t xml:space="preserve">Náklady na vlastníctvo softvéru alternatívy 2 (TO BE) </t>
  </si>
  <si>
    <t>Náklady na vlastníctvo hardvéru alternatívy 2 (TO BE)</t>
  </si>
  <si>
    <t>Všetky relevantné žlté polia a časové trvanie projektu</t>
  </si>
  <si>
    <t>Vyplnia dodávateľia, oslovení v procese trhovej konzultácie</t>
  </si>
  <si>
    <t>Zoznam modulov s ich opisom a harmonogramom</t>
  </si>
  <si>
    <t>Spoločné vstupné parametre pre ocenenie prínosov a výpočet CBA</t>
  </si>
  <si>
    <t>Aktuálne priemerné mzdy v hospodárstve podľa ŠÚ SR, rok začiatku projektu</t>
  </si>
  <si>
    <t xml:space="preserve">Slúži na rozdelenie prínosov podľa jednotlivých úradov (ak je to možné) 
a na ex-post monitorovanie dosahovania prínosov. </t>
  </si>
  <si>
    <t xml:space="preserve">V procese prípravy štúdie vyplní iba žlté stĺpce označené ako "Alt. 2", ktoré rozdeľujú prínosy podľa úradov </t>
  </si>
  <si>
    <t>Procesné mapy súčasného a budúceho stavu biznis procesov.</t>
  </si>
  <si>
    <t>Procesné mapy ako obrázky.</t>
  </si>
  <si>
    <t xml:space="preserve">Zdroj dát pre odhad časovej náročnosti súčasných procesov. </t>
  </si>
  <si>
    <t xml:space="preserve">Zdroj dát pre odhad časovej náročnosti budúcich procesov. </t>
  </si>
  <si>
    <t>Relevantné merania podľa procesov a procesných krokov.</t>
  </si>
  <si>
    <t>Riadenie projektu</t>
  </si>
  <si>
    <t>Riadenie a publicita</t>
  </si>
  <si>
    <t>Projektové riadenie</t>
  </si>
  <si>
    <t>Počet podaní / volaní</t>
  </si>
  <si>
    <t>Fond pracovnej doby - VS (FPDvs)</t>
  </si>
  <si>
    <t>hod/rok</t>
  </si>
  <si>
    <t>Fond pracovnej doby - NH (FPDnh)</t>
  </si>
  <si>
    <t xml:space="preserve">Cper = (W_ps * Odvody) / Fond pracovnej doby. Odvody (SP, ZP, DP) sú 35,2%“. Osobné náklady sú faktorom prevádzkových variabilných nákladov.
</t>
  </si>
  <si>
    <t>Položka</t>
  </si>
  <si>
    <t>Merná jednotka</t>
  </si>
  <si>
    <t>Počet</t>
  </si>
  <si>
    <t>Zdroj ceny</t>
  </si>
  <si>
    <t>ks</t>
  </si>
  <si>
    <t>Rozpočet - HW a licencie</t>
  </si>
  <si>
    <t>Detailný rozpočet pre vývoj navrhovaného riešenia (TO BE)</t>
  </si>
  <si>
    <t>Položkový rozpočet pre nákup licencií a HW (TO BE)</t>
  </si>
  <si>
    <t>Nákup krabicového SW</t>
  </si>
  <si>
    <t>Dodatočná úprava krabicového SW / Vývoj riešenia</t>
  </si>
  <si>
    <t>Názov SW</t>
  </si>
  <si>
    <t>počet kusov</t>
  </si>
  <si>
    <t>Cena za kus</t>
  </si>
  <si>
    <t>Cena spolu</t>
  </si>
  <si>
    <t>Integrácie a migrácie (modulov)</t>
  </si>
  <si>
    <t>Výstupné náklady</t>
  </si>
  <si>
    <t>Zmluvné poplaky</t>
  </si>
  <si>
    <t>Technologické požiadavky</t>
  </si>
  <si>
    <t>SW a Aplikácie - výstupné náklady</t>
  </si>
  <si>
    <t>SW a Aplikácie - Výstupné náklady</t>
  </si>
  <si>
    <t>Popis
(Vrátane zdôvodnenia zvoleného technologického variantu - IaaS, PaaS, vývoj vlastnej aplikácie, COTS riešenie)</t>
  </si>
  <si>
    <t>Aho</t>
  </si>
  <si>
    <t>Koncová služba</t>
  </si>
  <si>
    <t>TO BE - AS IS (€, NPV)</t>
  </si>
  <si>
    <t>TO BE - AS IS (€, SUM)</t>
  </si>
  <si>
    <t>Kontrola TO BE</t>
  </si>
  <si>
    <t>Finančný cashflow (s DPH)</t>
  </si>
  <si>
    <t>Ekonomický cashflow (bez DPH)</t>
  </si>
  <si>
    <t>Náklady s DPH</t>
  </si>
  <si>
    <t>ekonomická čistá súčasná hodnota (eur bez DPH)</t>
  </si>
  <si>
    <t>finančná čistá súčasná hodnota (eur s DPH)</t>
  </si>
  <si>
    <t>Zefektívnenie štátneho dozoru v starostlivosti o životné prostredie</t>
  </si>
  <si>
    <t>Slovenská inšpekcia životného prostredia</t>
  </si>
  <si>
    <t>Jeséniova 17D</t>
  </si>
  <si>
    <t>831 01</t>
  </si>
  <si>
    <t>www.sizp.sk</t>
  </si>
  <si>
    <t>00156906</t>
  </si>
  <si>
    <r>
      <t xml:space="preserve">Materiálové náklady na 1 podanie </t>
    </r>
    <r>
      <rPr>
        <i/>
        <sz val="11"/>
        <color theme="1"/>
        <rFont val="Calibri"/>
        <family val="2"/>
        <charset val="238"/>
        <scheme val="minor"/>
      </rPr>
      <t>(napr. Poštovné (0,83 EUR)+Tlač (0,02 EUR)+Papier (0,01 EUR)+Obálka (0,03 EUR). Zhotoviteľ štúdie doplní skutočné náklady)</t>
    </r>
  </si>
  <si>
    <t>Viď osobitná príloha</t>
  </si>
  <si>
    <t>Počet kontrol</t>
  </si>
  <si>
    <t>Priemerný evidenčný stav inšpektorov v r. 2017</t>
  </si>
  <si>
    <t>NA</t>
  </si>
  <si>
    <t>odolné zariadenia pre prácu v teréne</t>
  </si>
  <si>
    <t>HW pre mandátny podpis inšpektora</t>
  </si>
  <si>
    <t>Analýza a návrh</t>
  </si>
  <si>
    <t>Vývoj</t>
  </si>
  <si>
    <t>Testovanie</t>
  </si>
  <si>
    <t>Dokumentácia</t>
  </si>
  <si>
    <t>Migrácia údajov</t>
  </si>
  <si>
    <t>Nasadenie do rutinnej prevádzky</t>
  </si>
  <si>
    <t>Verejný portál KSED</t>
  </si>
  <si>
    <t>1.</t>
  </si>
  <si>
    <t>1.1</t>
  </si>
  <si>
    <t>1.2</t>
  </si>
  <si>
    <t>2.</t>
  </si>
  <si>
    <t>2.1</t>
  </si>
  <si>
    <t>2.2</t>
  </si>
  <si>
    <t>3.1</t>
  </si>
  <si>
    <t>3.2</t>
  </si>
  <si>
    <t>4.1</t>
  </si>
  <si>
    <t>4.2</t>
  </si>
  <si>
    <t>SIŽP</t>
  </si>
  <si>
    <t>Rok 1</t>
  </si>
  <si>
    <t>Rok 2</t>
  </si>
  <si>
    <t>711003 Nákup softvéru</t>
  </si>
  <si>
    <t>633013 Softvér</t>
  </si>
  <si>
    <t>637001 Školenia, kurzy, semináre, porady, konferencie, sympóziá</t>
  </si>
  <si>
    <t>635009 Rutinná a štandardná údržba softvéru</t>
  </si>
  <si>
    <t>718006 Rekonštrukcia a modernizácia softvéru</t>
  </si>
  <si>
    <t>637005 Špeciálne služby dodávateľským spôsobom</t>
  </si>
  <si>
    <t>1.1.1</t>
  </si>
  <si>
    <t>1.1.2</t>
  </si>
  <si>
    <t>1.2.1</t>
  </si>
  <si>
    <t>1.2.2</t>
  </si>
  <si>
    <t>1.2.3</t>
  </si>
  <si>
    <t>2.1.1</t>
  </si>
  <si>
    <t>2.1.2</t>
  </si>
  <si>
    <t>2.2.1</t>
  </si>
  <si>
    <t>2.2.2</t>
  </si>
  <si>
    <t>2.2.3</t>
  </si>
  <si>
    <t>2.2.4</t>
  </si>
  <si>
    <t>2.2.5</t>
  </si>
  <si>
    <t>637003 Propagácia, reklama a inzercia / 637004 Všeobecné služby</t>
  </si>
  <si>
    <t>637031 Pokuty a penále</t>
  </si>
  <si>
    <t>Modul</t>
  </si>
  <si>
    <t>713002 Nákup výpočtovej techniky</t>
  </si>
  <si>
    <t>633002 Výpočtová technika</t>
  </si>
  <si>
    <t>635002 Rutinná a štandardná údržba výpočtovej techniky</t>
  </si>
  <si>
    <t>718002 Rekonštrukcia a modernizácia výpočtovej techniky</t>
  </si>
  <si>
    <t>Technická služba pre Agendový IS KSED</t>
  </si>
  <si>
    <t>3</t>
  </si>
  <si>
    <t>4</t>
  </si>
  <si>
    <t>žiadne</t>
  </si>
  <si>
    <t>antivírusové aplikácie (cluster produkcia a test) pre databázový cluster KSED</t>
  </si>
  <si>
    <t>M23</t>
  </si>
  <si>
    <t>Bez projektového riadenia</t>
  </si>
  <si>
    <t>EY: Nevznikakú rozdielové náklady. Zamestanci SIŽP v AsIs aj ToBe sú vybavení PC, obnova aj prevádzka sú hradené z rozpočtu SIŽP.</t>
  </si>
  <si>
    <t>EY: Nevznikajú rozdielové náklady. Aplikácie IS MZV, IS Garbis, IS DKČ a IS IPKZ používa SIŽP bezplatne. Bezplatné je aj virtualizované pripojenie do site ŽPnet cez VMware Horizon a do cloudu MS Azure.</t>
  </si>
  <si>
    <t>Kapacitné plánovanie bude podporené funkcionalitou IS KSED.</t>
  </si>
  <si>
    <t>Podproces bude optimalizovaný funkcionalitou IS KSED zameranou na automatizované naplnenie plánu subjektami s najvyšším automatizovane vypočítaným hodnotením rizika. Bude umožnená používateľská editácia plánu, t.j. vyradenie resp. zaradenie subjektov pre zohľadnenie okolností, ktoré nebudú predmetom automatizovaného hodnotenia rizika.</t>
  </si>
  <si>
    <t>Komunikácia plánu bude podporená funkcionalitou IS KSED.</t>
  </si>
  <si>
    <t>Plnenie plánu bude na rutinnej úrovni zabezpečené automatizovane, t.j. vyhodnotenie počtu kontrol, podnetov, porušení, počtu a objemu sankcií, odvolaní, v členení podľa predmetu kontrol.</t>
  </si>
  <si>
    <t>AIS KSED je workflow-nástrojom end-to-end pokrývajúcim procesy výkonu kontroly a povoľovania. Zoznam elektronizovaných procesov:</t>
  </si>
  <si>
    <t>1.1 Štvrťročné plánovanie kontrol</t>
  </si>
  <si>
    <t>1.1.2 Posúdenie rizikovosti kontrolovaných subjektov v populácii z hľadiska kontrolných cieľov</t>
  </si>
  <si>
    <t>1.1.4 Tvorba plánu</t>
  </si>
  <si>
    <t>1.1.5 Zverejnenie plánu</t>
  </si>
  <si>
    <t>1.1.6 Vyhodnotenie plnenia plánu</t>
  </si>
  <si>
    <t>1.2 Výkon kontroly</t>
  </si>
  <si>
    <t>1.2.1 Inicializácia kontroly</t>
  </si>
  <si>
    <t>Pridelenie úlohy (plánovanej či neplánovanej kontroly) bude pokryté funkcionalitou IS KSED.</t>
  </si>
  <si>
    <t>1.2.2 Aktualizácia rizikového profilu kontrolovaného subjektu a predmetu kontroly</t>
  </si>
  <si>
    <t>1.2.3 Definovanie rozsahu kontroly</t>
  </si>
  <si>
    <t>Vypracovanie plánovacej, ako aj každej inej písomnosti v spise bude uľahčené IS KSED predvyplnením dostupných informácií o kontrolovanom subjekte do šablón používaných v jednotlivých procesných krokoch.</t>
  </si>
  <si>
    <t>1.2.4 Určenie kontrolnej skupiny</t>
  </si>
  <si>
    <t>Bude podporené kapacitným plánovaním v rámci IS KSED.</t>
  </si>
  <si>
    <t>1.2.5 Logistická príprava kontroly</t>
  </si>
  <si>
    <t>1.2.6 Výkon kontroly</t>
  </si>
  <si>
    <t>2. IS KSED zvýši preukaznosť získaných dôkazov, napr. fotodokumentácie alebo meraní, okamžitým zaregistrovaním do spisu spolu s časom, súradnicami, prípadne aj elektronickým podpisom. Tým sa významne obmedzí priestor pre kontrolovaný subjekt napadnúť výsledok kontroly z procesného hľadiska.</t>
  </si>
  <si>
    <t>Vypracovanie bude uľahčené predvyplnením dostupných informácií o kontrolovanom subjekte do šablón používaných v jednotlivých procesných krokoch. Predbežný výstup bude elektronicky podpísaný. Odoslanie bude zabezpečené integráciou z jestvujúcim registratúrnym systémom.</t>
  </si>
  <si>
    <t>1.3 Uloženie sankcie</t>
  </si>
  <si>
    <t>Využije sa predvyplnená šablóna IS KSED.</t>
  </si>
  <si>
    <t>1.4 Spracovanie odvolania</t>
  </si>
  <si>
    <t>1.4.1 Vypracovanie upovedomenia o postúpení odvolania</t>
  </si>
  <si>
    <t>1.4.2 Príprava predkladacej správy na Ústredie</t>
  </si>
  <si>
    <t>1.5 Vykazovanie kontrolnej činnosti.</t>
  </si>
  <si>
    <t>1.5.1 Archivovanie výstupu kontroly, pracovných listov a získaných dôkazov</t>
  </si>
  <si>
    <t>Bude plne zabezpečené IS KSED.</t>
  </si>
  <si>
    <t>1.5.2 Napĺnanie databázy zistení a nápravných opatrení</t>
  </si>
  <si>
    <t>Bude plne zabezpečené IS KSED. Bude vstupom pre aktualizáciu rizikového profilu subjektu.</t>
  </si>
  <si>
    <t>1.5.3 Tvorba informácií o výsledkoch kontrolnej činnosti za obdobie</t>
  </si>
  <si>
    <t>IS KSED bude automatizovane generovať plnenie plánu kontrolnej činnosti podľa evidovaného stavu jednotlivých kontrol počas obdobia.</t>
  </si>
  <si>
    <t>1.5.4 Zverejňovanie informácií o výsledkoch kontrolnej činnosti za obdobie</t>
  </si>
  <si>
    <t>Zverejňovanie informácií o výsledkoch kontrolnej činnosti bude prepojené na GIS. Po zvolení lokácie sa zobrazia anonymizované výsledky kontrolnej aj povoľovacej činnosti v oblasti.</t>
  </si>
  <si>
    <t>2. Povoľovacia činnosť</t>
  </si>
  <si>
    <t>2.1 Príjem a pridelenie žiadosti (v registratúrnom systéme)</t>
  </si>
  <si>
    <t>2.2 Posúdenie žiadosti</t>
  </si>
  <si>
    <t>2.3 Vypracovanie návrhu rozhodnutia</t>
  </si>
  <si>
    <t>2.4 Schválenie rozhodnutia</t>
  </si>
  <si>
    <t>2.5 Vydanie rozhodnutia</t>
  </si>
  <si>
    <t>Je potrebné oddeliť prístup používateľov vykonávajúcich povoľovanie od používateľov vykonávajúcich kontrolu</t>
  </si>
  <si>
    <t>1. Inšpekčná činnosť</t>
  </si>
  <si>
    <t>Podproces bude podporený funkcionalitou IS KSED zbierajúcou informácie o kontrolovaných subjektoch z preddefinovaných zdrojov a spracúvajúcou ich prednastaveným alebo ad hoc spôsobom, čím sa kontrolovaným subjektom priradí rizikový profil a uľahčí sa plánovanie kontrol.</t>
  </si>
  <si>
    <t>1.1.3 Posúdenie zdrojov (kapacity)</t>
  </si>
  <si>
    <t>1.1.1 Prioritizácia kontrolných cieľov z hľadiska spoločenskej potreby</t>
  </si>
  <si>
    <t>IS KSED automatizovane sústredí informácie o kontrolovanom subjekte z integrovaných registrov a z definovaných internetových zdrojov s prístupom na čítanie. Poskytne prepracované priestorové údaje prispôsobené lokácii kontroly (napr. prekryv mapových vrstiev rôznych zdrojov priestorových údajov).</t>
  </si>
  <si>
    <t>1.2.6 Výkon kontroly - je podporený mobilným agendovým systémom - viď modul 2</t>
  </si>
  <si>
    <t>1.3.1 Vypracovanie a zaslanie oznámenia o začatí správneho konania</t>
  </si>
  <si>
    <t>1.3.2 Vykonanie ústneho pojednávania (v prípade potreby) + zápisnica</t>
  </si>
  <si>
    <t>1.3.3 Vydanie rozhodnutia o sankcii</t>
  </si>
  <si>
    <t>1.4.3 Vypracovanie rozhodnutia o odvolaní</t>
  </si>
  <si>
    <t>1.5.4 Zverejňovanie informácií o výsledkoch kontrolnej činnosti za obdobie - viď Verejný portál KSED - modul 3</t>
  </si>
  <si>
    <t>Mobilná aplikácia bude vytvorená pre operačné systémy Android a iOS Apple. Umožní verejnosti anonymne nahlasovať podnety na znečisťovanie životného prostredia alebo porušovania zákonov o ochrane prírody. Nahlasované údaje budú prenášané do agendového informačného systému KSED a budú slúžiť ako jeden zo zdrojov pre výkon kontrol v teréne. Aplikácia umožní zaevidovať podnet, GPS polohu lokality, priložiť fotodokumentáciu, videosnímok. V prípade, ak nahlasovateľ uvedie aj svoj email kontakt, informačný systém ho bude notifikovať o priebehu vybavenia podnetu a výsledkoch realizovaných kontrolných úkonov.</t>
  </si>
  <si>
    <t>Potrebné migrácie z jestvujúcich systémov IS MZV, IS Garbis, IS DKČ, IS IPKZ (databázy kontrol v správe SAŽP, okrem IS DKČ v správe SIŽP)</t>
  </si>
  <si>
    <t>·       Register právnických osôb a jeho čiastkové registre</t>
  </si>
  <si>
    <t>·       Referenčné údaje o adresách z IS CSRÚ</t>
  </si>
  <si>
    <t>·       Referenčné údaje z obchodného registra</t>
  </si>
  <si>
    <t>·       Referenčné údaje zo živnostenského registra</t>
  </si>
  <si>
    <t>·       Register súdnych rozhodnutí / Registrov trestov FO a PO (SIŽP potrebuje mať k dispozícii informácie o trestoch FO a PO v oblasti životného prostredia, ktorej ukladá pokutu, či daná osoba bola odsúdená za trestný čin na úseku životného prostredia)</t>
  </si>
  <si>
    <t>·       Minerálne pramene SR</t>
  </si>
  <si>
    <t>·       Chránené stromy (CHS).Štátny zoznam osobitne chránených častí prírody a krajiny (ŠZOCHPaK) - časť chránené stromy, vrátane správnej priestorovej polohy</t>
  </si>
  <si>
    <t>·       Registre v gescii Národného lesníckeho centra</t>
  </si>
  <si>
    <t>·       Register podpôr (priame, projektové, štátna pomoc)  v gescii PPA. Možnosť elektronicky overiť či kontrolovaný subjekt dostal akúkoľvek podporu, za čo a kedy ju dostal a v akej výške</t>
  </si>
  <si>
    <t>·       Register  licencovaných krúžkov (ŠOP SR)</t>
  </si>
  <si>
    <t>·       Výsledky kontrol vykonávaných MPaRV SR</t>
  </si>
  <si>
    <t>·       Plán kontrol vykonávaných MPaRV SR</t>
  </si>
  <si>
    <t>·       Prehľad úradných kontrol vykonaných ŠVPS</t>
  </si>
  <si>
    <t>·       Registre prevádzkovateľov publikovaných ÚKSÚP</t>
  </si>
  <si>
    <t xml:space="preserve">·       Registre v gescii Úradu verejného zdravotníctva: </t>
  </si>
  <si>
    <t>o   Register - odbery a mikrobiologicke skúšanie vzoriek zo životného a pracovného prostredia</t>
  </si>
  <si>
    <t xml:space="preserve">o   Register - odbery a biologicke a ekotoxikologicke skúšanie vzoriek zo životného a pracovného prostredia </t>
  </si>
  <si>
    <t>o   Register - skúšanie vôd, ovzdušia</t>
  </si>
  <si>
    <t>o   Register - meranie prachu</t>
  </si>
  <si>
    <t>o   Register - meranie hluku a vibrácií</t>
  </si>
  <si>
    <t>o   Register výrobcov a dovozcov výživových doplnkov a potravín na osobitné výživové účely</t>
  </si>
  <si>
    <t>·       Zoznamy schválených/registrovaných potravinárskych prevádzkarní v gescii ŠVPS</t>
  </si>
  <si>
    <t>·       Zoznam dlžníkov na sociálnom poistení, resp. Register nedoplatkov subjektu na sociálnom poistení z IS CSRÚ</t>
  </si>
  <si>
    <t>·       Zoznam daňových dlžníkov, resp. Register daňových nedoplatkov z IS CSRÚ</t>
  </si>
  <si>
    <t>·       Zoznam dlžníkov na zdravotnom poistení, resp. Register nedoplatkov na zdravotnom poistení  z IS CSRÚ</t>
  </si>
  <si>
    <t>Očakávané integrácie alebo automatizovaný zber údajov:</t>
  </si>
  <si>
    <t>·       Iné relevantné registre v gescii MŽP</t>
  </si>
  <si>
    <t>Publikované datasety:</t>
  </si>
  <si>
    <t>·        Plán kontrol SIŽP</t>
  </si>
  <si>
    <t>·        Register výsledkov kontrol uskutočnených SIŽP</t>
  </si>
  <si>
    <t>·        Register rozhodnutí SIŽP</t>
  </si>
  <si>
    <t>·        Register kontrolovaných subjektov</t>
  </si>
  <si>
    <t>·        Register priestupkov FO</t>
  </si>
  <si>
    <t>·        Register správnych deliktov PO</t>
  </si>
  <si>
    <t>·        Register kontrolovaných skupín výrobkov</t>
  </si>
  <si>
    <t>·        Register integrovaných povolení</t>
  </si>
  <si>
    <t>Jednotlivé písomnosti vznikajúce v komunikácii s kontrolovaným subjektom budú automatizovane evidované v spise (Oznámenie o začatí kontroly, Zoznam podkladov). Bude zabezpečená integrácia s jestvujúcim registratúrnym systémom.</t>
  </si>
  <si>
    <t>1.2.7 Vypracovanie  výstupu z kontroly (Zápis z ohliadky, Priebežný/Čiastkový protokol, Záznam, Protokol)</t>
  </si>
  <si>
    <t>1.2.8 Príjem a spracovanie opodstatnených pripomienok (Vyjadrenie k námietkám, Dodatok k protokolu)</t>
  </si>
  <si>
    <t>Vypracovanie bude uľahčené predvyplnením dostupných informácií o kontrolovanom subjekte do šablón používaných v jednotlivých procesných krokoch (List k zamietnutiu pripomienok, Dodatkový protokol). Dokumenty budú elektronicky podpísané. Odoslanie bude zabezpečené integráciou z jestvujúcim registratúrnym systémom.</t>
  </si>
  <si>
    <t>Vypracovanie Zápisnice z prerokovania protokolu bude uľahčené predvyplnením dostupných informácií. Zápisnica bude elektronicky podpísaná. Odoslanie bude zabezpečené integráciou z jestvujúcim registratúrnym systémom.</t>
  </si>
  <si>
    <t>1.2.9 Prerokovanie výstupu z kontroly s kontrolovaným subjektom</t>
  </si>
  <si>
    <t>2.6 Príjem a pridelenie odvolania (v registratúrnom systéme)</t>
  </si>
  <si>
    <t>2.8 Vypracovaniezápisnice z ústneho pojednávania (len ak sa ústne pojednávanie konalo)</t>
  </si>
  <si>
    <t>2.10 Zverejňovanie výsledkov povoľovacej činnosti</t>
  </si>
  <si>
    <t>Na podanie žiadosti bude použitý elektronický formulár. Elektronická úhrada správneho poplatku bude automaticky spárovaná. Na prípadné vypracovanie zápisnice z ústného pojednávania a na vydanie rozhodnutia sa využije predvyplnená šablóna IS KSED.</t>
  </si>
  <si>
    <t>1. Budúci proces výkonu kontroly predpokladá vybavenie inšpektora odolným tabletom evidujúcim v off-line / on-line režime všetky informácie získané v prípravnej fáze, vrátane mapových podkladov. Po získaní pripojenia začne automaticky upload údajov vzniknutých v off-line režime do IS KSED.</t>
  </si>
  <si>
    <t>2.7 Vypracovanie návrhu stanoviska k odvolaniu</t>
  </si>
  <si>
    <t>2.9 Vydanie rozhodnutia k odvolaniu</t>
  </si>
  <si>
    <t>5. Prijatie podnetu mobilnou aplikáciou
6. Poskytnutie informácie o vybavení podnetu cez mobilnú aplikáciu.</t>
  </si>
  <si>
    <t>1. Podporovanie povoľovacej činnosti podľa zákona o IPK
2. Podporovanie povoľovacej činnosti podľa stavebného zákona
3. Podporovanie schválenia havarijného plánu podľa vodného zákona
4. Podporovanie inšpekčnej činnosti SIŽP
7. Uloženie sankcie za porušenie predpisov v oblasti ochrany ŽP
8. Spracovanie odvolania voči sankcii za porušenie predpisov v oblasti ŽP
9. Spracovanie odvolania voči zamietnutiu žiadosti o integrované povolenie</t>
  </si>
  <si>
    <t>Ročné</t>
  </si>
  <si>
    <t>Kumulované</t>
  </si>
  <si>
    <t>Rok návratnosti</t>
  </si>
  <si>
    <t>Celkové výdavky</t>
  </si>
  <si>
    <t>Výdavky - Agendové IS</t>
  </si>
  <si>
    <t>Upravené konverzným faktorom 1,2</t>
  </si>
  <si>
    <t>Riešenie má spĺňať bezpečnostné štandardy pre vládny cloud</t>
  </si>
  <si>
    <t>id</t>
  </si>
  <si>
    <t>názov</t>
  </si>
  <si>
    <t>popis</t>
  </si>
  <si>
    <t>Modernizácia</t>
  </si>
  <si>
    <t>zoštíhlenie, resp. iný typ vylepšenia existujúceho dizajnu procesov – vynechanie, nahradenie, zlúčenie procesov, aktivít, aktérov a pod.</t>
  </si>
  <si>
    <t>Sfunkčnenie</t>
  </si>
  <si>
    <t>umožnenie vykonať určitú povinnosť (odstránenie nevykonateľnosti)</t>
  </si>
  <si>
    <t>Zjednotenie</t>
  </si>
  <si>
    <t>zaistenie konsolidácie postupov vykonávaných rôznymi inštanciami rovnakého typu aktéra</t>
  </si>
  <si>
    <t>Centralizácia</t>
  </si>
  <si>
    <t xml:space="preserve">zníženie nákladov zavedením spoločnej prevádzky, podpory, metodiky a tiež predpoklad na elimináciu princípu miestnej príslušnosti (súvisí tiež so zjednotením, transparentnosťou a bezpečnosťou) </t>
  </si>
  <si>
    <t>Elektronizácia</t>
  </si>
  <si>
    <t>náhrada „papierových“ údajov (verejné listiny, žiadosti, rozhodnutia a pod.) elektronickými</t>
  </si>
  <si>
    <t>Automatizácia</t>
  </si>
  <si>
    <t>zrýchlenie, zvýšenie spoľahlivosti a kvality (chybovosti) procesov odstránením manuálnych krokov (spracovanie, rozhodovanie)</t>
  </si>
  <si>
    <t>Bezpečnosť</t>
  </si>
  <si>
    <t>schopnosť zaistiť dôvernosť, integritu a dostupnosť procesov a ich údajov</t>
  </si>
  <si>
    <t>Auditovateľnosť</t>
  </si>
  <si>
    <t>schopnosť dodatočne zrekonštruovať priebeh procesu (kto, čo, kedy)</t>
  </si>
  <si>
    <t>Transparentnosť</t>
  </si>
  <si>
    <t>schopnosť dodatočne preukázať, že proces bol vykonaný v súlade s pravidlami a požiadavkami</t>
  </si>
  <si>
    <t>Analyzovatelnosť</t>
  </si>
  <si>
    <t>dostupnosť relevantných údajov a ich spracovanie pre umožnenie informovaného rozhodovania</t>
  </si>
  <si>
    <t>Integrácia</t>
  </si>
  <si>
    <t>elektronické prepojenie systémov na okolitý eGovernment ako aj interne medzi systémami rezortu</t>
  </si>
  <si>
    <t>Proaktivita</t>
  </si>
  <si>
    <t xml:space="preserve">automatické preventívne iniciovanie komunikácie medzi procesom a aktérom – človekom (napr. rôzne notifikácie) </t>
  </si>
  <si>
    <t>Inšpekčná činnosť</t>
  </si>
  <si>
    <t>[hod]</t>
  </si>
  <si>
    <t>Inšpekcia ochrany ovzdušia</t>
  </si>
  <si>
    <t>Vypracovanie výstupu z kontroly (protokol, správa)</t>
  </si>
  <si>
    <t>Vypracovanie výstupu z kontroly (záznam, správa)</t>
  </si>
  <si>
    <t>Počet kontrol so zistením</t>
  </si>
  <si>
    <t>Počet kontrol s pokutou</t>
  </si>
  <si>
    <t>Počet kontrol s odvolaním</t>
  </si>
  <si>
    <t>% výskytu činnosti v typickom procese</t>
  </si>
  <si>
    <t>Všetky oblasti inšpekcií spolu</t>
  </si>
  <si>
    <t>Inšpekcia odpadového hospodárstva</t>
  </si>
  <si>
    <t>Inšpekcia ochrany prírody a krajiny</t>
  </si>
  <si>
    <t>Inšpekcia biologickej bezpečnosti</t>
  </si>
  <si>
    <t>Integrované povoľovanie a kontrola</t>
  </si>
  <si>
    <t>Slovnaft, LDPE4 - Nová výrobnňa polyetylénu, 2370-13658/37/2013/Tot,Heg/370190306</t>
  </si>
  <si>
    <t>Procesy na strane občana / podnikateľa neboli merané. Potenciálne úspory nevstúpili do CBA.</t>
  </si>
  <si>
    <t>Optimalizačné opatrenia</t>
  </si>
  <si>
    <t>A</t>
  </si>
  <si>
    <t>N</t>
  </si>
  <si>
    <t>Vypracovanie zápisnice z prerokovania výstupu z kontroly</t>
  </si>
  <si>
    <t>Zdroj 1</t>
  </si>
  <si>
    <t>Zdroj 2</t>
  </si>
  <si>
    <t>Zdroj 3</t>
  </si>
  <si>
    <t>Zdroj 4</t>
  </si>
  <si>
    <t>Zdroj 5</t>
  </si>
  <si>
    <t>Zdroj 6</t>
  </si>
  <si>
    <t>ρ</t>
  </si>
  <si>
    <t>Trvanie spolu</t>
  </si>
  <si>
    <t>Zvýšenie počtu kontrol vďaka zvýšeniu počtu zamestnancov</t>
  </si>
  <si>
    <t>Počet inšpektorov (bez vedúcich zamestancov)</t>
  </si>
  <si>
    <t>Počet vedúcich zamestancov vykonávajúcich aj inšpekčnú činnosť</t>
  </si>
  <si>
    <t>% využitia času inšpektorov na inšpekčnú činnosť</t>
  </si>
  <si>
    <t>% využitia času týchto vedúcich zamestancov na inšpekčnú činnosť</t>
  </si>
  <si>
    <t>Kapacita inšpektorov</t>
  </si>
  <si>
    <t>Kapacita vedúcich zamestnancov vykonávajúcich aj inšpekčnú činnosť</t>
  </si>
  <si>
    <t>Dodatotční zamestnanci pre organizačnú zložku analýzy rizík, v zmysle Reformného zámeru str. 31</t>
  </si>
  <si>
    <t>Celkový prírastok počtu kontrol</t>
  </si>
  <si>
    <t>Vrátane prírastku počtu kontrol vďaka zvýšeniu počtu zamestancov</t>
  </si>
  <si>
    <t>Inšpekcia ochrany vôd</t>
  </si>
  <si>
    <t>↑ Zmena ENPV v analýze citlivosti</t>
  </si>
  <si>
    <t>Zmena pri analýze citlivosti:</t>
  </si>
  <si>
    <t>Relatívny prírastok počtu kontrol</t>
  </si>
  <si>
    <t>10. Poskytnutie informácie o výsledkoch inšpekčnej, povoľovacej a sankčnej činnosti SIŽP</t>
  </si>
  <si>
    <t>a</t>
  </si>
  <si>
    <t>Zistené za prípravu vcelku, vykázané pod oboznámením sa s predchádzajúcimi zisteniami</t>
  </si>
  <si>
    <t>b</t>
  </si>
  <si>
    <t>Zahrnuté do oznámenia o začatí kontroly</t>
  </si>
  <si>
    <t>c</t>
  </si>
  <si>
    <t>Mimo rozsahu projektu</t>
  </si>
  <si>
    <t>d</t>
  </si>
  <si>
    <t>Zahrnuté do prípravy protokolu</t>
  </si>
  <si>
    <t>Prijatie oznámenia MZV</t>
  </si>
  <si>
    <t>Príprava na kontrolu pred vydaním poverenia</t>
  </si>
  <si>
    <t>Vystavenie poverenia</t>
  </si>
  <si>
    <t>Oboznámenie sa s predchádzajúcimi zisteniami</t>
  </si>
  <si>
    <t>Oboznámenie sa s výškou predchádzajúcich sankcií</t>
  </si>
  <si>
    <t>Oboznámenie sa s uhrádzaním sankcií</t>
  </si>
  <si>
    <t>Oboznámenie sa s plnením nápravných opatrení</t>
  </si>
  <si>
    <t>Zber externých údajov pri príprave kontroly</t>
  </si>
  <si>
    <t>Vypracovanie oznámenia o začatí kontroly</t>
  </si>
  <si>
    <t>Vypracovanie zoznamu požadovanej dokumentácie</t>
  </si>
  <si>
    <t>Vypracovanie zoznamu kontrolných otázok</t>
  </si>
  <si>
    <t>Administratívna príprava kontroly</t>
  </si>
  <si>
    <t>Uloženie dôkazov z ohliadky do spisu</t>
  </si>
  <si>
    <t>Vypracovanie zápisu z ohliadky / čiastkového / priebežného protokolu</t>
  </si>
  <si>
    <t>Vypracovanie stanoviska k pripomienkam kontrolovaného subjektu</t>
  </si>
  <si>
    <t>Ukončenie spisu</t>
  </si>
  <si>
    <t>Vypracovanie a zaslanie oznámenia o začatí správneho konania</t>
  </si>
  <si>
    <t>Vypracovanie zápisnice z ústneho pojednávania</t>
  </si>
  <si>
    <t>Vypracovanie upovedomenia o postúpení odvolania</t>
  </si>
  <si>
    <t>Žurnalizácia spisu</t>
  </si>
  <si>
    <t>Vypracovanie rozhodnutia o odvolaní</t>
  </si>
  <si>
    <t>Vypracovanie rozhodnutia o sankcii</t>
  </si>
  <si>
    <t>Počet kontrol celkom</t>
  </si>
  <si>
    <t>Vypracovanie predkladacej správy k odvolaniu</t>
  </si>
  <si>
    <t>Vážené trvanie</t>
  </si>
  <si>
    <t>Ostatné predmety kontrol</t>
  </si>
  <si>
    <t>ρ trvania</t>
  </si>
  <si>
    <t>Nerozčlenené podnety</t>
  </si>
  <si>
    <t>BVS, a.s., Mimoriadne zhoršenie vôd, 053/015/2016/BA</t>
  </si>
  <si>
    <t>HANYX s.r.o. Lučenec, Podnet - subjekt vykonáva mobilný zber a prepravu komunálneho odpadu bez zmluvy s mestom (Kontrola obcí pri nakladaní s komunálnym odpadom), 8212-36652/44/2017/Kov</t>
  </si>
  <si>
    <t>Eko-Donau s.r.o., Preverenie legálnosti výrubu drevín, 5442/2018</t>
  </si>
  <si>
    <t>Štefan Fraňo, Ochrana ohrozených druhov, ktoré sú predmetom dohovoru CITES, 7840/2017</t>
  </si>
  <si>
    <t>PF UK, Kontrola uzavretých priestorov, 3651/2018</t>
  </si>
  <si>
    <t>AUTOGRAND, a.s., Zaobchádzanie so znečisťujúcimi látkami, 1045/2017</t>
  </si>
  <si>
    <t>ETI ELB, s.r.o. Báhoň, Nakladanie s vodami a prevádzku a účinnosť ČOV, 6419/2017</t>
  </si>
  <si>
    <t>VOLKSWAGEN, SLOVAKIA, a.s., Prevencia závažných priemyselných havárií, 5220/2018</t>
  </si>
  <si>
    <t>Modelovaný spis kontroly veľkého zdroja diskusiou s inšpektorom</t>
  </si>
  <si>
    <t>BIO-plus, s.r.o., Kontrola kvality palív, 1020/2018</t>
  </si>
  <si>
    <t>3U, s.r.o. Bratislava - výrobca regulovaných výrobkov, Kontrola kvality regulovaných výrobkov, 6765-25699/33/2018/Tom</t>
  </si>
  <si>
    <t>MAKOS, a.s. Bardejov, Kontrola emisie skleníkových plynov, kontrola: 4828-15367/53/2017/Kve
spravne konanie: 7490-33731/Ulb
odvolanie: 1110-2247/Šte</t>
  </si>
  <si>
    <t>Jozef Gregor, EKO TRANS, Pezinok, prevádzka Pod gaštanmi, Bratislava, Kontrola pôvodcov a držiteľov odpadov, 4087/2018</t>
  </si>
  <si>
    <t>Alfafin Plus, s.r.o., prevádzka Lehnice, Kontrola prevádzkovateľov zariadení na zber odpadov, 5566/2018
8159/2018</t>
  </si>
  <si>
    <t>BIOPRODUKT Dunajský Klátov, s.r.o., Dunajský Klátov, Kontrola prevádzkovateľov zariadení na zhodnocovanie odpadov, 3572/2018
8182/2018</t>
  </si>
  <si>
    <t>František Karkes, Senec, Používanie GT a GMO zámerným uvoľňovaním, 4785/2017</t>
  </si>
  <si>
    <t>Považská cementáreň, a.s. , Environmentálne označovanie výrobkov, 5706/2018</t>
  </si>
  <si>
    <t>TERMMING, a.s. Bratislava, Kotolňa Železničná - kotle na spaľovanie biomasy, 5809-24751/33/2018/Fia, Kontrola stredného zdroja, 5809-24751/33/2018/Fia</t>
  </si>
  <si>
    <t>Meranie</t>
  </si>
  <si>
    <t>Trvanie [h]</t>
  </si>
  <si>
    <t>Počet [n]</t>
  </si>
  <si>
    <t>h*n</t>
  </si>
  <si>
    <t>Počet kumulatívny</t>
  </si>
  <si>
    <t>n*(h-E(x))^2</t>
  </si>
  <si>
    <t>Priemer</t>
  </si>
  <si>
    <t>Stredná hodnota (medián)</t>
  </si>
  <si>
    <t>Rozptyl</t>
  </si>
  <si>
    <t>Štandardná odchýlka</t>
  </si>
  <si>
    <t>SLOVMAS, a.s., Bratislava, Kontrola povinností rozšírenej zodpovednosti výrobcov, 3970/2017</t>
  </si>
  <si>
    <t>Počet kontrol so zistením porušenia predpisov</t>
  </si>
  <si>
    <t>Priemerná pokuta na kontrolu so zistením porušenia predpisov</t>
  </si>
  <si>
    <t>Uložené pokuty</t>
  </si>
  <si>
    <t>Suma pokút uložená v r. 2017 za zistenia r. 2017</t>
  </si>
  <si>
    <t>Percento zvýšenia kapacity</t>
  </si>
  <si>
    <t>Prírastok kontrol vďaka zvýšeniu kapacity</t>
  </si>
  <si>
    <t>Jednotková cena (eur) s DPH</t>
  </si>
  <si>
    <t>Rate FTE externé (s DPH)</t>
  </si>
  <si>
    <t>Náklady na obstaranie a prevádzku HW (s DPH)</t>
  </si>
  <si>
    <t>Náklady na obstaranie a prevádzku SW (s DPH)</t>
  </si>
  <si>
    <t>Náklady na budúce riešenie (s DPH)</t>
  </si>
  <si>
    <t>Náklady na existujúce riešenie (s DPH)
(pôvodné riešenie pred realizáciou projektu OP II), ktoré bolo nahradené</t>
  </si>
  <si>
    <t>Rozdiel v nákladoch medzi existujúcim a navrhovaným riešením (s DPH)</t>
  </si>
  <si>
    <t>Poznámka spracovateľa CBA: Ekonomické prínosy sú v tomto hárku v súlade so šablónou CBA uvedené bez konverzného faktora.</t>
  </si>
  <si>
    <t>Poznámka spracovateľa CBA: Ekonomický cashflow je v tomto hárku v súlade so šablónou CBA uvedený vrátane faktora.</t>
  </si>
  <si>
    <t>Sadzba DPH</t>
  </si>
  <si>
    <t>Celková suma (eur) s DPH</t>
  </si>
  <si>
    <t>Suma externé (s DPH)</t>
  </si>
  <si>
    <t>Spolu projekt</t>
  </si>
  <si>
    <t>Modul Integrované povoľovanie</t>
  </si>
  <si>
    <t>Modul Kontrolná činnosť - odpadové hospodárstvo</t>
  </si>
  <si>
    <t>Modul Riadenie interných procesných služieb </t>
  </si>
  <si>
    <t>Modul Plánovanie kontrolných činností</t>
  </si>
  <si>
    <t>Modul Správne konanie</t>
  </si>
  <si>
    <t>Modul Analýzy</t>
  </si>
  <si>
    <t>Modul Podnety</t>
  </si>
  <si>
    <t>Modul Vyhodnocovanie  a reporting</t>
  </si>
  <si>
    <t>Rozklad nákladov vývoja agendového IS KSED na moduly:</t>
  </si>
  <si>
    <t>Projektový manažér</t>
  </si>
  <si>
    <t>Work</t>
  </si>
  <si>
    <t>Projektový manažér IT projektu</t>
  </si>
  <si>
    <t>Business analytik</t>
  </si>
  <si>
    <t>IT analytik</t>
  </si>
  <si>
    <t>Analytik</t>
  </si>
  <si>
    <t>Programátor</t>
  </si>
  <si>
    <t>IT programátor/vývojár</t>
  </si>
  <si>
    <t>Tester</t>
  </si>
  <si>
    <t>IT tester</t>
  </si>
  <si>
    <t>Administrátor</t>
  </si>
  <si>
    <t>Špecialista pre infraštruktúry/HW špecialista</t>
  </si>
  <si>
    <t>Školiteľ</t>
  </si>
  <si>
    <t>Školiteľ pre IT systémy</t>
  </si>
  <si>
    <t>Dokumentarista</t>
  </si>
  <si>
    <t>Iné (pozícia, ktorú nie je možné zaradiť do vyššie uvedených pozícií)</t>
  </si>
  <si>
    <t>Expert na kvalitu</t>
  </si>
  <si>
    <t>Odborník pre IT dohľad/ Quality Assurance</t>
  </si>
  <si>
    <t>Expert na informačnú bezpečnosť</t>
  </si>
  <si>
    <t>Špecialista pre bezpečnosť IT</t>
  </si>
  <si>
    <t>Blended rate</t>
  </si>
  <si>
    <t>Zaokrúhlený rate</t>
  </si>
  <si>
    <t>Poznámka: Percentuálne využitie cca zohľadňuje jednotlivé fázy projektu (stĺpec C v pomernom vyjadrení), avšak nie presne, lebo vo fázach je samozrejme využívaných viacero rolí (napr. analytici sa používajú aj pri vývoji).</t>
  </si>
  <si>
    <t>Vyplní oslovený dodávateľ - ALFABASE</t>
  </si>
  <si>
    <t>1. Agendový informačný systém KSED (AIS KSED)</t>
  </si>
  <si>
    <t>2. Mobilný Agendový informačný systém KSED</t>
  </si>
  <si>
    <t>3. Verejný portál KSED</t>
  </si>
  <si>
    <t>4. Mobilná aplikácia Podnety</t>
  </si>
  <si>
    <t>5. Integračné rozhrania</t>
  </si>
  <si>
    <t>Vyplní oslovený dodávateľ - YMS</t>
  </si>
  <si>
    <t>x</t>
  </si>
  <si>
    <t>MS SQL Server</t>
  </si>
  <si>
    <t>X</t>
  </si>
  <si>
    <t>MS Sharepoint</t>
  </si>
  <si>
    <t>MS Sharepoint CAL</t>
  </si>
  <si>
    <t>Vyplní oslovený dodávateľ - ASPECTA</t>
  </si>
  <si>
    <t>Percentualne priradenie</t>
  </si>
  <si>
    <t>Spoločné funkcionality a projektové riadenie</t>
  </si>
  <si>
    <t>Priemerný počet MD</t>
  </si>
  <si>
    <t>Priemerné MD z slepých rozpočtov</t>
  </si>
  <si>
    <t>Spolu MDs na modul</t>
  </si>
  <si>
    <t>1.1 Analýza a návrh</t>
  </si>
  <si>
    <t>1.2 Vývoj</t>
  </si>
  <si>
    <t>1.3 Testovanie</t>
  </si>
  <si>
    <t>1.4 Dokumentácia</t>
  </si>
  <si>
    <t>1.5 Migrácia údajov</t>
  </si>
  <si>
    <t>1.6 Nasadenie do rutinnej prevádzky</t>
  </si>
  <si>
    <t>1.1 Analýza a návrh - analytik</t>
  </si>
  <si>
    <t>1.2 Vývoj - programátor</t>
  </si>
  <si>
    <t>1.3 Testovanie - tester</t>
  </si>
  <si>
    <t>1.4 Dokumentácia - dokumentarista</t>
  </si>
  <si>
    <t>1.5 Migrácia údajov - programátor</t>
  </si>
  <si>
    <t>1.6 Nasadenie do rutinnej prevádzky - administrátor</t>
  </si>
  <si>
    <t>Modul Riadenie interných procesných služieb</t>
  </si>
  <si>
    <t>2.1 Analýza a návrh</t>
  </si>
  <si>
    <t>2.2 Vývoj</t>
  </si>
  <si>
    <t>2.3 Testovanie</t>
  </si>
  <si>
    <t>2.4 Dokumentácia</t>
  </si>
  <si>
    <t>2.5 Nasadenie do rutinnej prevádzky</t>
  </si>
  <si>
    <t>3.1 Analýza a návrh</t>
  </si>
  <si>
    <t>3.2 Vývoj</t>
  </si>
  <si>
    <t>3.3 Testovanie</t>
  </si>
  <si>
    <t>3.4 Dokumentácia</t>
  </si>
  <si>
    <t>3.5 Migrácia údajov</t>
  </si>
  <si>
    <t>3.6 Nasadenie do rutinnej prevádzky</t>
  </si>
  <si>
    <t>4.1 Analýza a návrh</t>
  </si>
  <si>
    <t>4.2 Vývoj</t>
  </si>
  <si>
    <t>4.3 Testovanie</t>
  </si>
  <si>
    <t>4.4 Dokumentácia</t>
  </si>
  <si>
    <t>4.5 Nasadenie do rutinnej prevádzky</t>
  </si>
  <si>
    <t>5.1 Analýza a návrh</t>
  </si>
  <si>
    <t>5.2 Vývoj</t>
  </si>
  <si>
    <t>5.3 Testovanie</t>
  </si>
  <si>
    <t>5.4 Dokumentácia</t>
  </si>
  <si>
    <t>5.5 Nasadenie do rutinnej prevádzky</t>
  </si>
  <si>
    <t xml:space="preserve">6.1 Projektové riadenie </t>
  </si>
  <si>
    <t>Modul Kontrolná činnosť</t>
  </si>
  <si>
    <t>5. Integračné rozhrania a spoločné funkcionality</t>
  </si>
  <si>
    <t>Podporné aktivity</t>
  </si>
  <si>
    <t>5.6 Analýza a návrh - návrh a audit bezpečnostnej architektúry</t>
  </si>
  <si>
    <t>5.7 Analýza a návrh - IT dohľad (quality assurance)</t>
  </si>
  <si>
    <t>Druh aktivity</t>
  </si>
  <si>
    <t>Modul MetaIS</t>
  </si>
  <si>
    <t>Interný agendový informačný systém KSED</t>
  </si>
  <si>
    <t>Mobilná aplikácia KSED</t>
  </si>
  <si>
    <t xml:space="preserve"> Mobilný agendový informačný systém KSED</t>
  </si>
  <si>
    <t>Spoločné komponenty</t>
  </si>
  <si>
    <t>Row Labels</t>
  </si>
  <si>
    <t>(blank)</t>
  </si>
  <si>
    <t>Grand Total</t>
  </si>
  <si>
    <t>Sum of Suma externé (s DPH)</t>
  </si>
  <si>
    <t>5.8 Školenia</t>
  </si>
  <si>
    <t>Pocet MDs</t>
  </si>
  <si>
    <t>SLA na prevádzku</t>
  </si>
  <si>
    <t>Podporné aktivity spolu</t>
  </si>
  <si>
    <t>Suma pokút uložená v r. 2017</t>
  </si>
  <si>
    <t>Z toho pokuty uložené v r. 2017 za zistenia kontrol vykonaných v r. 2016</t>
  </si>
  <si>
    <t>Priemerná pokuta</t>
  </si>
  <si>
    <t xml:space="preserve">c </t>
  </si>
  <si>
    <t>TANYA TRANS, s.r.o. Ľuda Zúbka, 901 01 Malacky , Mimoriadne zhoršenie vôd, 109/012/2018/NR</t>
  </si>
  <si>
    <t>ADDA spol.s.r.o, Slamkova14, 949 07 Nitra - Janíkovce, Chemický zákon, 7262/2018</t>
  </si>
  <si>
    <t>Nidec Global Appliance Slovakia, s.r.o., Zlaté Moravce - kontrola na základe vlastného kontrolného diskontinuálneho merania, nedodržanie EL, Kontrola stredného zdroja, 6423 - 23451/33/2018/Fia</t>
  </si>
  <si>
    <t>Color de Luxe, s.r.o. Bratislava, Kontrola kvality regulovaných výrobkov, 4083-9829/33/2018/Tom</t>
  </si>
  <si>
    <t>CARS Prešov, s.r.o., Prešov, prevádzka Strojnícka 19, Prešov, Kontrola pôvodcov a držiteľov odpadov, 8404/2017</t>
  </si>
  <si>
    <t>ENVI-PACK, a.s., Bratislava, Kontrola povinností rozšírenej zodpovednosti výrobcov, 7209/2017</t>
  </si>
  <si>
    <t>Komposesorát Vojka s.r.o., Preverenie legálnosti realizácie oplotenia v chránenom území, 3006/2018</t>
  </si>
  <si>
    <t>Marián Imrišek, Ochrana ohrozených druhov, ktoré sú predmetom dohovoru CITES, 38/2019</t>
  </si>
  <si>
    <t>Farma Majcikov, Používanie GT a GMO zámerným uvoľňovaním, 6121/2018</t>
  </si>
  <si>
    <t xml:space="preserve">Drogéria u Spuchláka, Malacky, Environmentálne označovanie, </t>
  </si>
  <si>
    <t>Stredná hodnota (medián) 0</t>
  </si>
  <si>
    <t>Stredná hodnota (medián) 1</t>
  </si>
  <si>
    <t>Počet kumulatívny 2</t>
  </si>
  <si>
    <t>Minimum</t>
  </si>
  <si>
    <t>Maximum</t>
  </si>
  <si>
    <t>% počtu kontrol so zistením porušenia predpisov v TO BE</t>
  </si>
  <si>
    <t>Rozpočet projektu</t>
  </si>
  <si>
    <t>P.č.</t>
  </si>
  <si>
    <t>Skupina aktivít</t>
  </si>
  <si>
    <t>Názov aktivity</t>
  </si>
  <si>
    <t>Skupina  výdavkov</t>
  </si>
  <si>
    <t>Názov výdavku</t>
  </si>
  <si>
    <t>Modul - z názvu výdavku</t>
  </si>
  <si>
    <t>Modul mapovanie TCO</t>
  </si>
  <si>
    <t>MJ</t>
  </si>
  <si>
    <t xml:space="preserve">Jednotková cena bez DPH (v EUR) </t>
  </si>
  <si>
    <t xml:space="preserve">Počet jednotiek </t>
  </si>
  <si>
    <t>Spolu bez DPH (v EUR)</t>
  </si>
  <si>
    <t>Spolu s DPH (v EUR)</t>
  </si>
  <si>
    <t>Oprávnený výdavok (v EUR)</t>
  </si>
  <si>
    <t>Neoprávnený výdavok (v EUR)</t>
  </si>
  <si>
    <t>Intenzita pomoci (v %)</t>
  </si>
  <si>
    <t>Hodnota NFP          (v EUR)</t>
  </si>
  <si>
    <t>Číslo VO/číslo DZ</t>
  </si>
  <si>
    <t>Komentár</t>
  </si>
  <si>
    <t>Príznak aktualizácie hodnôt z VO</t>
  </si>
  <si>
    <t>Vybrať 1 z možností (hlavná aktivita alebo podporná aktivita).</t>
  </si>
  <si>
    <t>Výber z jednotlivých aktivít plánovaných pre projekt. Výber možný výlučne z preddefinovaných možností</t>
  </si>
  <si>
    <t>Uvádza sa skupina výdavkou v súlade s Príručkou oprávnenosti výdavkov prioritnej osi 7 Informačná spoločnosť OPII (príloha PpŽ - Národné projekty)</t>
  </si>
  <si>
    <t>Uvádza sa konkrétny názov výdavku.</t>
  </si>
  <si>
    <t>Uvádzajú sa názvy alebo skratky reálnych a merateľných merných jednotiek. Nie je povolené používať mernú jednotku projekt.</t>
  </si>
  <si>
    <t>Uvádza sa cena za mernú jednotku bez DPH stanovená s presnosťou na max. 4 desatinné miesta.</t>
  </si>
  <si>
    <t>Uvádza sa počet jednotiek týkajúci sa daného výdavku v celých číslach bez desatinných miest.</t>
  </si>
  <si>
    <t>Uvádza sa vzorec súčtu Spolu  bez DPH a DPH 20%. Suma Spolu s DPH tak zahŕňa oprávnené aj neoprávnené výdavky.</t>
  </si>
  <si>
    <t>Výdavky, ktoré spĺňajú podmienky oprávnenosti v zmysle príslušného vyzvania, t.j. tie, ktoré bezprostredne súvisia s realizáciou projektu.</t>
  </si>
  <si>
    <t>Výdavky, ktoré nie sú v súlade s podmienkami oprávnenosti výdavkov podľa Príručky oprávnenosti výdavkov prioritnej osi 7 Informačná spoločnosť OPII (príloha PpŽ - Národné projekty) a teda na ich úhradu nemôže byť poskytnutý NFP.</t>
  </si>
  <si>
    <t>Intenzita pomoci je vyjadrená ako podiel NFP k celkovým oprávneným výdavkom projektu, vyjadruje sa v % a jej maximálna výška je určená vo vyzvaní. Uvádza sa v zaokrúhlení na 3 desatinné miesta.</t>
  </si>
  <si>
    <t>Výška NFP je daná súčinom intenzity pomoci a výšky oprávnených výdavkov. Hodnoty sa zaokrúhľujú na dve desatinné miesta. Maximálna výška NFP je určená vo vyzvaní.</t>
  </si>
  <si>
    <t>Uvádza sa číslo VO podľa Vestníka VO /Číslo dodávateľskej zmluvy/, mzdy, iné</t>
  </si>
  <si>
    <t xml:space="preserve">Potrebné je uviesť detailné zdôvodnenie výdavku, počtu jednotiek a ceny. </t>
  </si>
  <si>
    <t>Analýza a dizajn</t>
  </si>
  <si>
    <t>Hlavná</t>
  </si>
  <si>
    <t xml:space="preserve">Analýza a dizajn riešenia – integrácia na iný ISVS </t>
  </si>
  <si>
    <t>013 - Softvér</t>
  </si>
  <si>
    <t>IT analytik (Modul Integrované povoľovanie)</t>
  </si>
  <si>
    <t>MD</t>
  </si>
  <si>
    <t>IT analytik (Modul Kontrolná činnosť)</t>
  </si>
  <si>
    <t>Analýza a dizajn riešenia okrem integrácie</t>
  </si>
  <si>
    <t>IT analytik (Modul Riadenie interných procesných služieb)</t>
  </si>
  <si>
    <t>Analýza a dizajn riešenia –  integrácia na Modul procesnej integrácie a integrácie údajov</t>
  </si>
  <si>
    <t>IT analytik (Modul Plánovanie kontrolných činností)</t>
  </si>
  <si>
    <t>IT analytik (Modul Správne konanie)</t>
  </si>
  <si>
    <t>IT analytik (Modul Analýzy)</t>
  </si>
  <si>
    <t>IT analytik (Modul Podnety)</t>
  </si>
  <si>
    <t>IT analytik (Modul Vyhodnocovanie  a reporting)</t>
  </si>
  <si>
    <t>IT analytik (Mobilný Agendový informačný systém KSED)</t>
  </si>
  <si>
    <t>Mobilný Agendový informačný systém KSED</t>
  </si>
  <si>
    <t>IT analytik (Verejný portál KSED)</t>
  </si>
  <si>
    <t>IT analytik (Mobilná aplikácia Podnety)</t>
  </si>
  <si>
    <t>Mobilná aplikácia Podnety</t>
  </si>
  <si>
    <t>IT analytik (Integračné rozhrania a spoločné funkcionality)</t>
  </si>
  <si>
    <t>Integračné rozhrania a spoločné funkcionality</t>
  </si>
  <si>
    <t>Špecialista pre databázy (IS KSED)</t>
  </si>
  <si>
    <t>IS KSED</t>
  </si>
  <si>
    <t>Špecialista pre bezpečnosť IT (IS KSED)</t>
  </si>
  <si>
    <t>IT architekt (Modul Integrované povoľovanie)</t>
  </si>
  <si>
    <t>IT architekt (Modul Kontrolná činnosť)</t>
  </si>
  <si>
    <t>IT architekt (Modul Riadenie interných procesných služieb)</t>
  </si>
  <si>
    <t>IT architekt (Modul Plánovanie kontrolných činností)</t>
  </si>
  <si>
    <t>IT architekt (Modul Správne konanie)</t>
  </si>
  <si>
    <t>IT architekt (Modul Analýzy)</t>
  </si>
  <si>
    <t>IT architekt (Modul Podnety)</t>
  </si>
  <si>
    <t>IT architekt (Modul Vyhodnocovanie  a reporting)</t>
  </si>
  <si>
    <t>IT architekt (Verejný portál KSED)</t>
  </si>
  <si>
    <t>IT programátor/vývojár (Modul Integrované povoľovanie- Migrácia údajov)</t>
  </si>
  <si>
    <t>Modul Integrované povoľovanie- Migrácia údajov</t>
  </si>
  <si>
    <t>IT programátor/vývojár (Modul Kontrolná činnosť- Migrácia údajov)</t>
  </si>
  <si>
    <t>Modul Kontrolná činnosť- Migrácia údajov</t>
  </si>
  <si>
    <t>IT programátor/vývojár (Modul Riadenie interných procesných služieb- Migrácia údajov)</t>
  </si>
  <si>
    <t>Modul Riadenie interných procesných služieb- Migrácia údajov</t>
  </si>
  <si>
    <t>IT programátor/vývojár (Modul Plánovanie kontrolných činností- Migrácia údajov)</t>
  </si>
  <si>
    <t>Modul Plánovanie kontrolných činností- Migrácia údajov</t>
  </si>
  <si>
    <t>IT programátor/vývojár (Modul Správne konanie- Migrácia údajov)</t>
  </si>
  <si>
    <t>Modul Správne konanie- Migrácia údajov</t>
  </si>
  <si>
    <t>IT programátor/vývojár (Modul Analýzy- Migrácia údajov)</t>
  </si>
  <si>
    <t>Modul Analýzy- Migrácia údajov</t>
  </si>
  <si>
    <t>IT programátor/vývojár (Modul Podnety- Migrácia údajov)</t>
  </si>
  <si>
    <t>Modul Podnety- Migrácia údajov</t>
  </si>
  <si>
    <t>IT programátor/vývojár (Modul Vyhodnocovanie  a reporting- Migrácia údajov)</t>
  </si>
  <si>
    <t>Modul Vyhodnocovanie  a reporting- Migrácia údajov</t>
  </si>
  <si>
    <t>IT programátor/vývojár (Verejný portál KSED- Migrácia údajov)</t>
  </si>
  <si>
    <t>Verejný portál KSED- Migrácia údajov</t>
  </si>
  <si>
    <t>IT architekt (IS KSED- Migrácia údajov)</t>
  </si>
  <si>
    <t>IS KSED- Migrácia údajov</t>
  </si>
  <si>
    <t>Špecialista pre databázy  (IS KSED- Migrácia údajov)</t>
  </si>
  <si>
    <t>IT/IS konzultant (IS KSED- Migrácia údajov)</t>
  </si>
  <si>
    <t>Špecialista pre bezpečnosť IT (návrh a audit bezpečnostnej architektúry)</t>
  </si>
  <si>
    <t>návrh a audit bezpečnostnej architektúry</t>
  </si>
  <si>
    <t>Odborník pre IT dohľad/Quality Assurance</t>
  </si>
  <si>
    <t>Nákup HW a krabicového softvéru</t>
  </si>
  <si>
    <t>Nákup HW a krabicového softvéru pre riešenie okrem integrácie</t>
  </si>
  <si>
    <t>zálohovací SW (cluster produkcia a test) výpočet pre prípad licencie Veam: licnecia na počet sockets hostov, a teda 2 socketový host vyžaduje 2 licencie</t>
  </si>
  <si>
    <t>licencie centrálnej Databázy (cluster produkcia a test) pre KSED výpočet licencie pre prípad MS SQL server databázy: (2x licencia produkcia cluster + 2x licencia test cluster) * 2 (kvôli počtu CPU a potrebe zalicencovania core)</t>
  </si>
  <si>
    <t>Implementácia</t>
  </si>
  <si>
    <t xml:space="preserve">Implementácia riešenia – integrácia na iný ISVS </t>
  </si>
  <si>
    <t>IT programátor/vývojár (Modul Integrované povoľovanie)</t>
  </si>
  <si>
    <t>IT programátor/vývojár (Modul Kontrolná činnosť)</t>
  </si>
  <si>
    <t>Implementácia riešenia okrem integrácie</t>
  </si>
  <si>
    <t>IT programátor/vývojár (Modul Riadenie interných procesných služieb)</t>
  </si>
  <si>
    <t>Implementácia riešenia –  integrácia na Modul procesnej integrácie a integrácie údajov</t>
  </si>
  <si>
    <t>IT programátor/vývojár (Modul Plánovanie kontrolných činností)</t>
  </si>
  <si>
    <t>IT programátor/vývojár (Modul Správne konanie)</t>
  </si>
  <si>
    <t>IT programátor/vývojár (Modul Analýzy)</t>
  </si>
  <si>
    <t>IT programátor/vývojár (Modul Podnety)</t>
  </si>
  <si>
    <t>IT programátor/vývojár (Modul Vyhodnocovanie  a reporting)</t>
  </si>
  <si>
    <t>IT programátor/vývojár (Mobilný Agendový informačný systém KSED)</t>
  </si>
  <si>
    <t>IT programátor/vývojár (Verejný portál KSED)</t>
  </si>
  <si>
    <t>IT programátor/vývojár (Mobilná aplikácia Podnety)</t>
  </si>
  <si>
    <t>IT programátor/vývojár (Integračné rozhrania a spoločné funkcionality)</t>
  </si>
  <si>
    <t>IT architekt- (Dohľad IT architekta)</t>
  </si>
  <si>
    <t>Dohľad IT architekta</t>
  </si>
  <si>
    <t>Špecialista pre databázy</t>
  </si>
  <si>
    <t>Špecialista pre infraštruktúrny/HW špecialista</t>
  </si>
  <si>
    <t>Iné - Dokumentarista (Modul Integrované povoľovanie)</t>
  </si>
  <si>
    <t>Iné - Dokumentarista (Modul Kontrolná činnosť)</t>
  </si>
  <si>
    <t>Iné - Dokumentarista (Modul Riadenie interných procesných služieb)</t>
  </si>
  <si>
    <t>Iné - Dokumentarista (Modul Plánovanie kontrolných činností)</t>
  </si>
  <si>
    <t>Iné - Dokumentarista (Modul Správne konanie)</t>
  </si>
  <si>
    <t>Iné - Dokumentarista (Modul Analýzy)</t>
  </si>
  <si>
    <t>Iné - Dokumentarista (Modul Podnety)</t>
  </si>
  <si>
    <t>Iné - Dokumentarista (Modul Vyhodnocovanie  a reporting)</t>
  </si>
  <si>
    <t>Iné - Dokumentarista (Mobilný Agendový informačný systém KSED)</t>
  </si>
  <si>
    <t>Iné - Dokumentarista (Verejný portál KSED)</t>
  </si>
  <si>
    <t>Iné - Dokumentarista (Mobilná aplikácia Podnety)</t>
  </si>
  <si>
    <t>Iné - Dokumentarista (Integračné rozhrania a spoločné funkcionality)</t>
  </si>
  <si>
    <t xml:space="preserve">Testovanie riešenia – integrácia na iný ISVS </t>
  </si>
  <si>
    <t>IT tester (Modul Integrované povoľovanie)</t>
  </si>
  <si>
    <t>IT tester (Modul Kontrolná činnosť)</t>
  </si>
  <si>
    <t>Testovanie riešenia okrem integrácie</t>
  </si>
  <si>
    <t>IT tester (Modul Riadenie interných procesných služieb)</t>
  </si>
  <si>
    <t>Testovanie riešenia –  integrácia na Modul procesnej integrácie a integrácie údajov</t>
  </si>
  <si>
    <t>IT tester (Modul Plánovanie kontrolných činností)</t>
  </si>
  <si>
    <t>IT tester (Modul Správne konanie)</t>
  </si>
  <si>
    <t>IT tester (Modul Analýzy)</t>
  </si>
  <si>
    <t>IT tester (Modul Podnety)</t>
  </si>
  <si>
    <t>IT tester (Modul Vyhodnocovanie  a reporting)</t>
  </si>
  <si>
    <t>IT tester (Mobilný Agendový informačný systém KSED)</t>
  </si>
  <si>
    <t>IT tester (Verejný portál KSED)</t>
  </si>
  <si>
    <t>IT tester (Mobilná aplikácia Podnety)</t>
  </si>
  <si>
    <t>IT tester (Integračné rozhrania a spoločné funkcionality)</t>
  </si>
  <si>
    <t>Špecialista pre bezpečnosť IT (Dohľad špecialistu na bezpečnosť)</t>
  </si>
  <si>
    <t>Dohľad špecialistu na bezpečnosť</t>
  </si>
  <si>
    <t>Nasadenie</t>
  </si>
  <si>
    <t xml:space="preserve">Nasadenie riešenia – integrácia na iný ISVS </t>
  </si>
  <si>
    <t>Špecialista pre infraštruktúrny/HW špecialista (Modul Integrované povoľovanie)</t>
  </si>
  <si>
    <t>Špecialista pre infraštruktúrny/HW špecialista (Modul Kontrolná činnosť)</t>
  </si>
  <si>
    <t>Nasadenie riešenia okrem integrácie</t>
  </si>
  <si>
    <t>Špecialista pre infraštruktúrny/HW špecialista (Modul Riadenie interných procesných služieb)</t>
  </si>
  <si>
    <t>Nasadenie riešenia –  integrácia na Modul procesnej integrácie a integrácie údajov</t>
  </si>
  <si>
    <t>Špecialista pre infraštruktúrny/HW špecialista (Modul Plánovanie kontrolných činností)</t>
  </si>
  <si>
    <t>Špecialista pre infraštruktúrny/HW špecialista (Modul Správne konanie)</t>
  </si>
  <si>
    <t>Špecialista pre infraštruktúrny/HW špecialista (Modul Analýzy)</t>
  </si>
  <si>
    <t>Špecialista pre infraštruktúrny/HW špecialista (Modul Podnety)</t>
  </si>
  <si>
    <t>Špecialista pre infraštruktúrny/HW špecialista (Modul Vyhodnocovanie  a reporting)</t>
  </si>
  <si>
    <t>Špecialista pre infraštruktúrny/HW špecialista (Mobilný Agendový informačný systém KSED)</t>
  </si>
  <si>
    <t>Špecialista pre infraštruktúrny/HW špecialista (Verejný portál KSED)</t>
  </si>
  <si>
    <t>Špecialista pre infraštruktúrny/HW špecialista (Mobilná aplikácia Podnety)</t>
  </si>
  <si>
    <t>Špecialista pre infraštruktúrny/HW špecialista (Integračné rozhrania a spoločné funkcionality)</t>
  </si>
  <si>
    <t>Špecialista pre infraštruktúrny/HW špecialista(IS KSED)</t>
  </si>
  <si>
    <t>Školiteľ pre IT systémy (Integračné rozhrania a spoločné funkcionality)</t>
  </si>
  <si>
    <t>Podporná</t>
  </si>
  <si>
    <t>521 - Mzdové výdavky</t>
  </si>
  <si>
    <t xml:space="preserve">IT Projektový manažér </t>
  </si>
  <si>
    <t>Finančný manažér</t>
  </si>
  <si>
    <t>Asistent</t>
  </si>
  <si>
    <t>112 - zásoby</t>
  </si>
  <si>
    <t>Nákup počítačov, elektronických zariadení a príslušenstva</t>
  </si>
  <si>
    <t>Data projektor vrátane príslušenstva</t>
  </si>
  <si>
    <t>Sieťové multifunkčné zariadenie vrátane príslušenstva</t>
  </si>
  <si>
    <t>Interný manažér riadenia kvality</t>
  </si>
  <si>
    <t>Publicita</t>
  </si>
  <si>
    <t>Externá podpora v rámci publicity -Príprava plánu komunikácie, krízovej komunikácie a jej ktualizácia, produkcia a výroba kampane</t>
  </si>
  <si>
    <t>Interný manažér pre riadenie publicity - Revízia mílnikov</t>
  </si>
  <si>
    <t>Publicita - veľkoplošná reklamná tabuľa</t>
  </si>
  <si>
    <t>Jednotková cena (eur) bez DPH</t>
  </si>
  <si>
    <t>Výdavok Rok 1 
[EUR s DPH]</t>
  </si>
  <si>
    <t>Výdavok Rok 2
[EUR s DPH]</t>
  </si>
  <si>
    <t>Názov aktivity2</t>
  </si>
  <si>
    <t xml:space="preserve">Sum of Výdavok Rok 1 </t>
  </si>
  <si>
    <t>Sum of Výdavok Rok 2</t>
  </si>
  <si>
    <t>Rámec pre zmenové požiadavky (predpokladaná hodnota)</t>
  </si>
  <si>
    <t>Support riešenia</t>
  </si>
  <si>
    <t>Maintenance riešenia</t>
  </si>
  <si>
    <t>Podpora 5 rokov z VO</t>
  </si>
  <si>
    <t xml:space="preserve">Interný agendový informačný systém KSED	</t>
  </si>
  <si>
    <t>Analýza a dizajn riešenia</t>
  </si>
  <si>
    <t>IT bezpečnostný a dátový analytik objednávateľa - IT junior</t>
  </si>
  <si>
    <t>hod</t>
  </si>
  <si>
    <t>Hlavný partner</t>
  </si>
  <si>
    <t>Kumulovaná interná rola, ktorá vykonáva činnosti v súlade s popisom projektovej role vo Vyhláške č. 85/2020 Z. z.:                                                                                                                                                                                                                                                                                                                                                                                                                                                                                                                                      •dátovej bezpečnosti a aktualizácii a archivácii databáz na úrovni prijímateľa  realizovaného projektu v súlade so štandardami IT;                                                                                                                                                                                                                                                                                        •pravidelnom sledovaní platných právnych predpisov SR v oblasti bezpečnosti IT podľa zákona  o kybernetickej bezpečnosti a zákona o informačných technológiách vo verejnej správe,  usmernení a pokynov QA, MIRRI pre čerpanie fondov EÚ v rámci IKT;                            
•konaní vo vzťahu k dodávateľom, resp. partnerom na projekte.                                                                                                                                                                                                                                                                                                                                                                                                                            •spolupráci na činnostiach v rámci implementácie projektu: monitorovanie, verejné obstarávanie v oblasti IKT, a pod. Spolupracuje na pravidelnom reportovaní stavu projektu RO/SO OP II.                                                                                                                                                                                                                                                                                                                                                                                                                                                                                                                                                                                                                                                                                       •Zodpovedá za udržiavanie databázy, spravuje používateľské účty/prístupy, zálohuje a optimalizuje chod databázy, identifikuje problémové oblasti a navrhuje riešenia na ich odstránenie.                                                                                                                                                                    
•Ako správca databáz vykonáva, prípadne riadi odborné činnosti v oblasti správy bázy dát a dátových súborov IKT.
•Zabezpečuje inštaláciu, testovanie, oživovanie a nastavenie parametrov a následnú správu databázy vrátane prostriedkov a aplikácií na jej využitie. Zabezpečuje migráciu dát, generovanie výstupov, vytváranie relácií a spájanie dát, zálohovanie dát a správu používateľských účtov/prístupov.
•Zabezpečuje monitoring prevádzky bázy dát, administratívne a dokumentačné práce súvisiace so správou databázy a riešenie neštandardných situácií. Poskytuje inštrukcie a poradenstvo používateľom databázových systémov.
•Celý rozsah agendy rieši v súlade s legislatívou o dátových štandardoch SR – Vyhláškou 78/2020 Zz o dátových štandaroch.                                                                                                                                                                                                                                                                                
•Zodpovedá za dodržanie princípov a štandardov na kybernertickú a IT bezpečnosť, za kontrolu a audit správnosti riešenia v oblasti bezpečnosti.
•Koordinuje a riadi činnosť v oblasti bezpečnosti prevádzky IT, spolupracuje na projektoch, na rozvoji nástrojov a postupov k optimalizácii bezpečnostných systémov a opatrení.                                                                                                                                                                                •Stanovuje základné požiadavky, podmienky a štandardy pre oblasť bezpečnosti programov, systémov, databázy či sieti.                                                                                                                                                                                                                                                                                                                                                                                                                                                                      •Spracováva a kontroluje príslušné interné predpisy a dohliada nad plnením týchto štandardov a predpisov.                                                                                                                                                                                                                                                                                                                               •Kontroluje a riadi činnosť nad bezpečnostnými testami, bezpečnostnými incidentmi v prevádzke IT.      
Výpočet: 13 mesiacov * ≈160 hodín za mesiac * sadzba na hodinu 24,291 € 
Výpočet sadzby za 1 osobohodinu v EUR: 15,00*1,2*1,3495 = 24,291
Parametre výpočtu:
15,00 = sadzba základnej hrubej mzdy zamestnanca 15,00 EUR za hodinu (počítame s maximálnou možnou výškou 15 EUR)
1,2 = 20% odmena zo mzdy
1,3495 = 34,95% odvody za zamestnávateľa</t>
  </si>
  <si>
    <t>vlastník procesov objednávateľa (biznis vlastník) - junior</t>
  </si>
  <si>
    <t>Manažér pre integrácie</t>
  </si>
  <si>
    <t>Vykonáva činnosti v súlade s popisom projektovej role vo Vyhláške č. 85/2020 Z. z. 
Zodpovedá za riadenie integrácií v realizovanom projekte. V rámci projektu zabezpečuje podporu pri riadení, kontrole a audite procesu integrácie vyvíjaného SW riešenia s ostatnými IS tak, aby integrácia bola vykonaná podľa projektovej dokumentácie a podľa príslušných štandardov. Dohliada na kvalitu riadenia a kontrolu dokumentácie integračných rozhraní ako aj na testovanie integračných rozhraní vrátane. 
IT SENIOR
Výpočet: 8 mesiacov * ≈29,2 hodín za mesiac * sadzba na hodinu 40,485 € 
Výpočet sadzby za 1 osobohodinu v EUR: 25,00*1,2*1,3495 = 40,485
Parametre výpočtu:
25,00 = sadzba základnej hrubej mzdy zamestnanca 25,00 EUR za hodinu (počítame s maximálnou možnou výškou 25 EUR)
1,2 = 20% odmena zo mzdy
1,3495 = 34,95% odvody za zamestnávateľa</t>
  </si>
  <si>
    <t>Kľúčový používateľ – end user - tester</t>
  </si>
  <si>
    <t>Vlastník procesov - člen Riadiaceho výboru</t>
  </si>
  <si>
    <t>Vlastník procesov - člen Riadiaceho výboru projektu.
Výpočet: 8 mesiacov * ≈ 48 hodín za mesiac * sadzba na hodinu 24,291 € 
Výpočet sadzby za 1 osobohodinu v EUR: 15,00*1,2*1,3495 = 24,291
Parametre výpočtu:
15,00 = sadzba základnej hrubej mzdy zamestnanca 15,00 EUR za hodinu (počítame s maximálnou možnou výškou 15 EUR)
1,2 = 20% odmena zo mzdy
1,3495 = 34,95% odvody za zamestnávateľa</t>
  </si>
  <si>
    <t>Kľúčový používateľ – end user - člen Riadiaceho výboru</t>
  </si>
  <si>
    <t>Zmena hodnoty NFP podľa nacenenia od víťazného dodávateľa. Vykonáva činnosti v súlade s popisom projektovej role vo Vyhláške č. 85/2020 Z. z. 
zodpovedá za zber a analyzovanie funkčných požiadaviek, analyzovanie a spracovanie dokumentácie z pohľadu procesov, metodiky, technických možností a inej dokumentácie. Podieľa sa na návrhu riešenia vrátane návrhu zmien procesov v oblasti biznis analýzy a analýzy softvérových riešení. Zodpovedá za výkon analýzy IS, koordináciu a dohľad nad činnosťou SW analytikov. 
Analyzuje požiadavky na informačný systém/softvérový systém, formálnym spôsobom zaznamenáva činnosti/procesy, vytvára analytický model systému, okrem analýzy realizuje aj návrh systému, ten vyjadruje návrhovým modelom.</t>
  </si>
  <si>
    <t xml:space="preserve">Zmena hodnoty NFP podľa nacenenia od víťazného dodávateľa. Vykonáva činnosti v súlade s popisom projektovej role vo Vyhláške č. 85/2020 Z. z. 
zodpovedá za zber a analyzovanie funkčných požiadaviek, analyzovanie a spracovanie dokumentácie z pohľadu procesov, metodiky, technických možností a inej dokumentácie. Podieľa sa na návrhu riešenia vrátane návrhu zmien procesov v oblasti biznis analýzy a analýzy softvérových riešení. Zodpovedá za výkon analýzy IS, koordináciu a dohľad nad činnosťou SW analytikov. 
Analyzuje požiadavky na informačný systém/softvérový systém, formálnym spôsobom zaznamenáva činnosti/procesy, vytvára analytický model systému, okrem analýzy realizuje aj návrh systému, ten vyjadruje návrhovým modelom. </t>
  </si>
  <si>
    <t>Počet systemizovaných inšpektorských miest na inšpektorátoch a na ústredí bude v roku 2022 v počte 240. Pre určenie predpokladanej hodnoty sa vychádza z PHZ z roku 2022. Pre túto položku bude samostatné VO ako nadlimitná zakázka (predtým ako položka č. 38). V procese verejného obstarávania bude presne špecifikovaný predmet zákazky v zmysle záverov 5. RV pre IS KSED.</t>
  </si>
  <si>
    <t>HW pre mandátny certifikát inšpektora</t>
  </si>
  <si>
    <t>Počet systemizovaných inšpektorských miest na inšpektorátoch a na ústredí bude v roku 2022 v počte 240. Pre túto položku bude samostatné VO ako zákazka s nízkou hodnotou (predtým ako položka č. 39).</t>
  </si>
  <si>
    <t>zálohovací SW (cluster produkcia a test)
výpočet pre prípad licencie Veam:
licnecia na počet sockets hostov, a teda 2 socketový host vyžaduje 2 licencie</t>
  </si>
  <si>
    <t>licencie centrálnej Databázy (cluster produkcia a test) pre KSED
výpočet licencie pre prípad MS SQL server databázy:
(2x licencia produkcia cluster + 2x licencia test cluster) * 2 (kvôli počtu CPU a potrebe zalicencovania core)</t>
  </si>
  <si>
    <t>Dodávateľ</t>
  </si>
  <si>
    <t xml:space="preserve">V rámci Štúdie uskutočniteľnosti sa predpokladala dodávka 8ks licencií databázy MS SQL pre projekt KSED. Keďže v zmysle Zákona o verejnom obstarávaní musí mať uchádzač možnosť predložiť aj ekvivalent predpokladaného softvéru (databázy MS SQL), verejný obstarávateľ nemôže vopred predpisovať konkrétny počet licencií ekvivalentnej databázy. Zároveň verejný obstarávateľ v rámci Vysvetlenia č.5 uviedol, aby uchádzači všetky SW licencie požadované v rámci Opisu predmetu zákazky sumárne nacenili v rozpočtovej položke č. 41 „Nákup HW a krabicového softvéru pre riešenie okrem integrácie“. Zmena počtu kusov v rámci tejto položky (predtým ako položka č. 41) nemá dopad pre zabezpečenie dodania diela v zmysle Zmluvy o dielo. </t>
  </si>
  <si>
    <t>antivírusové aplikácie (produkčné prostredie) pre databázový cluster KSED a koncové odolné zariadenia HW</t>
  </si>
  <si>
    <t>Testovanie riešenia</t>
  </si>
  <si>
    <t xml:space="preserve">Dátový kurátor/Vlastník dát </t>
  </si>
  <si>
    <t>Rozdelenie výdavkov</t>
  </si>
  <si>
    <t>Implementácia riešenia</t>
  </si>
  <si>
    <t>Nasadenie riešenia</t>
  </si>
  <si>
    <r>
      <t xml:space="preserve">IT architekt - </t>
    </r>
    <r>
      <rPr>
        <sz val="11"/>
        <color theme="1"/>
        <rFont val="Calibri"/>
        <family val="2"/>
        <charset val="238"/>
        <scheme val="minor"/>
      </rPr>
      <t>IT senior</t>
    </r>
  </si>
  <si>
    <t>Náklady zahŕňajú 100% mzdových nákladov IT architekta, počas 24 mesiacov trvania projektu. 
Výpočet sadzby za 1 človekodeň v EUR: 15*1,2*1,3495. 
Výpočet: 24 mesiacov * ≈700 hodín celkom * sadzba na hodinu 24,291 € 
Výpočet sadzby za 1 osobohodinu v EUR: 15,00*1,2*1,3495 = 24,291
Parametre výpočtu:
15,00 = sadzba základnej hrubej mzdy zamestnanca 15,00 EUR za hodinu (počítame s maximálnou možnou výškou 15 EUR)
1,2 = 20% odmena zo mzdy
1,3495 = 34,95% odvody za zamestnávateľa</t>
  </si>
  <si>
    <t>Administratívny pracovník (mzdár)</t>
  </si>
  <si>
    <t>Administratívny pracovník (ekonóm)</t>
  </si>
  <si>
    <t>Partner</t>
  </si>
  <si>
    <t>518 - Ostatné
služby</t>
  </si>
  <si>
    <r>
      <t xml:space="preserve">Externá podpora v rámci riadenia kvality </t>
    </r>
    <r>
      <rPr>
        <sz val="11"/>
        <color theme="1"/>
        <rFont val="Calibri"/>
        <family val="2"/>
        <charset val="238"/>
        <scheme val="minor"/>
      </rPr>
      <t>- QA</t>
    </r>
  </si>
  <si>
    <t>Revízia, pripomienkovanie a pravidelná kontrola závislosti projektu voči pripravovaným a realizovaným projektom;
Revízia a oponentúra výsledkov testov nasadenia nového systému v zmysle plánu testovania. 
Revízia a oponentúra testovacích scenárov. V prípade potreby vstup do testovacieho prostredia a vykonanie jednotlivých druhov testov v zmysle plánu testovania. 
Revízia, kontrola a oponentúra - R3_2 - SIT - Systémové a integračné testovanie - špecializovaný produkt
Revízia, kontrola a oponentúra - R3_2 - Bezpečnostné testovanie (SW/HW/kybernetická bezpečnosť) - špecializovaný produkt
Revízia, kontrola a oponentúra - R3_2 - Používateľské testy funkčného používateľského rozhrania (UX/UI) - špecializovaný produkt
Revízia, kontrola a oponentúra - R3_2 - UAT - Užívateľské a akceptačné testovanie - špecializovaný produkt
Revízia fukčnosti systému pri prechode do produkčného  prostredia;
Revízia akceptačných protokolov;
Revízia Správy o ukončení projektu;
Revízia Správy o získaných poznatkoch;
Revízia záverečnej správy pre Riadiaci výbor projektu, Sponzora projektu</t>
  </si>
  <si>
    <t>Pre určenie predpokladanej hodnoty sme vychádzali z aktivít podobného charakteru na základe historických dát z projektov OPIS-u, porovnania cien z dostupných zmlúv v CRZ a z aktuálnych cien na trhu v predmetných segmentoch. 
Detail aktivity: 
_kreatíva a produkcia/výroba jednotlivých častí kampane a aktualizácií</t>
  </si>
  <si>
    <t>Externá podpora v rámci publicity - Príprava plánu komunikácie, krízovej komunikácie a jej ktualizácia, produkcia a výroba kampane; Realizácia podporných aktivít a nákup mediálneho priestoru kampane projektu ATL v oblasti Publicity</t>
  </si>
  <si>
    <t xml:space="preserve">Pre určenie predpokladanej hodnoty sme vychádzali z aktivít podobného charakteru na základe historických dát z projektov OPIS-u, porovnania cien z dostupných zmlúv v CRZ a z aktuálnych cien na trhu v predmetnoých segmentoch.
Pred realizáciu samotných aktivít projektu sa bude prieskum trhu v zmysle value for money s očakávaným obsahom:
_návrh optimálneho mediamixu
_nákup medialneho priestoru v médiách ako napr. TV, Radio, online, online video
Poznámka: skratka ATL - Above The Line (nadlinková komunikácia) </t>
  </si>
  <si>
    <t>Realizácia podporných aktivít projektu v oblasti Quality Assurance (QA) prostredníctvom interných zamestnancov MIRRI alebo spolupracovníkov MIRRI na základe dohôd o výkone prác mimo pracovného pomeru
Výpočet sadzby: 15*7,5*1,2*1,3495 = 182,18 EUR / človekodeň (t.j. MD rate)
15 = sadzba 15 EUR za hodinu
7,5 = 7,5 hodín z pracovného času (t.j. 8 hodín – 30 minút na obed)
1,2 = 20% odmena zo mzdy
1,3495 = 34,95 % odvody za zamestnávateľa
Detail aktivity:
_pripravuje a predkladá plán strategickej komunikácie
_pripravuje a koordinuje prípravu komunikačného plánu
_realizuje implementáciu marketingovej stratégie v spolupráci s hlavným partnerom
_pripravuje hlavný kreatívny koncept a jeho adaptáciu pre projekt - a to pre časť (ATL) nadlinkovej komunikácie (Nákup vysielacieho času, Produkcia rozhlasových spotov, Produkcia videa, Programovacie bannery, Nákup mediálneho online priestoru, Nákup mediálneho priestoru/print, Príprava vizuálu pre tlačovú reklamu a produkcia), digitálne médiá a sociálne siete
_riadi aktivity nadlikovej komunikácie (TV, rádio, out of home, printové médiá), a to vrátane digitálnej komunikácie, výkonnostného marketingu a marketingu na sociálnych sieťach
_pripravuje, realizuje a koordinuje PR aktivity pre časť (BTL) podlinkovej komunikácie
_tvorí a pravidelne kontroluje dodržiavanie časového harmonogramu
_kontroluje vzájomnú nadväznosť prebiehajúcich aktivít</t>
  </si>
  <si>
    <r>
      <t xml:space="preserve">Publicita - trvalo vysvetľujúca tabuľa - </t>
    </r>
    <r>
      <rPr>
        <sz val="11"/>
        <color theme="1"/>
        <rFont val="Calibri"/>
        <family val="2"/>
        <charset val="238"/>
        <scheme val="minor"/>
      </rPr>
      <t>až po ukončení</t>
    </r>
  </si>
  <si>
    <t>Zmena výšky podľa aktuálnej príručky pre prijímateľa. Výdavok žiadateľa. Jednotková cena vrátane počtu jednotiek vychádza zo skúseností získaných pri realizácii obdobných projektov, výdavok bude predmetom VO.</t>
  </si>
  <si>
    <t>Aktualizované hodnoty z VO a žiadosti o zmenu č.4</t>
  </si>
  <si>
    <t>022 - Samostatné hnuteľné veci a súbory hnuteľných vecí</t>
  </si>
  <si>
    <t>Pozn.: Pôvodné hodnoty za rok 1 a 2 vymazané, keďže osobné náklady počas implementácie projektu sú zarátané v projektovom riadení a vo vytvorení aplikácie</t>
  </si>
  <si>
    <t>Pozn. Obsahuje aj mzdové náklady na interné kapacity</t>
  </si>
  <si>
    <t>Pozn. Infraštruktúra je vo vládnom cloude, bez dodatočných nákladov pre SIŽP</t>
  </si>
  <si>
    <t>Stíhaní</t>
  </si>
  <si>
    <t>Odsúdení</t>
  </si>
  <si>
    <t>Vykonané kontroly</t>
  </si>
  <si>
    <t>Zistené porušenia</t>
  </si>
  <si>
    <t>Priemer 2016 - 2021</t>
  </si>
  <si>
    <t>Všetky oblasti inšpekcií spolu (modifikovaný výpočet)</t>
  </si>
  <si>
    <t>uvažované 5% ročné prevádzkové náklady na maintenance, maintenance za licencie centrálnej Databázy súčasťou odhadu nákaldov za SLA</t>
  </si>
  <si>
    <t>Počet kontrol ASIS z SU</t>
  </si>
  <si>
    <t>Počet kontrol TOBE z SU</t>
  </si>
  <si>
    <t>Čistá kapacita FTE na inšpekčnú činnosť</t>
  </si>
  <si>
    <t>Uvažovaný počet pracovných dní</t>
  </si>
  <si>
    <t>Hodín v pracovnom dni</t>
  </si>
  <si>
    <t>Celková kapacita v hodinách na inšpekčnú činnosť</t>
  </si>
  <si>
    <t>Kalkulácia nezahŕňa nadčasy, ktoré boli potrebné na dosiahnutie počtu kontrol ASIS</t>
  </si>
  <si>
    <t>Odhad trvania podľa kvantifikovaných krokov procesu ASIS</t>
  </si>
  <si>
    <t>Odhad trvania podľa kvantifikovaných krokov procesu TOBE</t>
  </si>
  <si>
    <t>Trvanie krokov mimo odhadov krokov "Procesy - AS IS"</t>
  </si>
  <si>
    <t>Trvanie krokov mimo odhadov krokov "Procesy - TO BE"</t>
  </si>
  <si>
    <t>SU - pravdepodobne 2017/2018</t>
  </si>
  <si>
    <t>Spomenutý nárast počtu inšpektorov</t>
  </si>
  <si>
    <t xml:space="preserve">Validačné prepočty </t>
  </si>
  <si>
    <t>pôvodné vstupy z SU</t>
  </si>
  <si>
    <t>Priemer na jednu kontrolu ASIS z kapacity inšpektorov</t>
  </si>
  <si>
    <t>Priemer na jednu kontrolu TOBE z kapacity inšpektorov</t>
  </si>
  <si>
    <t>Priemerná úspora - revidované odhady vo väzbe na DNR (Zdroj Príloha DNR 07_IS_KSED_KPI.xlsx)</t>
  </si>
  <si>
    <t>Nové vstupy</t>
  </si>
  <si>
    <t>prevencia negatívnych dopadov porušenia predpisov vďaka efektívnejším kontrolám</t>
  </si>
  <si>
    <t>zlepšenia v procesoch povoľovacej činnosti činnosť</t>
  </si>
  <si>
    <t>lepší komfort práce pre pracovníkov SIŽP vďaka práce v IS KSED</t>
  </si>
  <si>
    <t>zníženie zaťaženia zainteresovaných osôb (napr. starostov) vďaka prehľadnejšej dokumentácii a podkladom</t>
  </si>
  <si>
    <t>Dodatočné služby pri ukončovaní projektu</t>
  </si>
  <si>
    <t>Dodatočné výdavky</t>
  </si>
  <si>
    <t>Aktualizácia CBA</t>
  </si>
  <si>
    <t>Výdavok Rok 3
[EUR s DPH]</t>
  </si>
  <si>
    <t>Sum of Výdavok Rok 3</t>
  </si>
  <si>
    <t>2024 polrok</t>
  </si>
  <si>
    <t>Kapacita v FTE mimo inšpekčnú činnosť</t>
  </si>
  <si>
    <t>Priemerná pokuta na kontrolu so zistením</t>
  </si>
  <si>
    <t>Výška pokút aktualizácia 2024</t>
  </si>
  <si>
    <t>Kapacita v hodinach mimo inšpekčnú činnosť - spolu</t>
  </si>
  <si>
    <t>Kapacita v hodinach mimo inšpekčnú činnosť - na inšpektora</t>
  </si>
  <si>
    <t>Kapacita v hodinach na inšpekčnú činnosť - na inšpektora</t>
  </si>
  <si>
    <t>Priemer 2019-2021</t>
  </si>
  <si>
    <t>Priemerný počet zistení z kontrol 2019-2021</t>
  </si>
  <si>
    <t>VO19331154/Zmluva č. 105/2021</t>
  </si>
  <si>
    <t xml:space="preserve">Zmena hodnoty NFP podľa nacenenia od víťazného dodávateľa. Vykonáva činnosti v súlade s popisom projektovej role vo Vyhláške č. 85/2020 Z. z. 
zodpovedá za zber a analyzovanie funkčných požiadaviek, analyzovanie a spracovanie dokumentácie z pohľadu procesov, metodiky, technických možností a inej dokumentácie. Podieľa sa na návrhu riešenia vrátane návrhu zmien procesov v oblasti biznis analýzy a analýzy softvérových riešení. Zodpovedá za výkon analýzy IS, koordináciu a dohľad nad činnosťou SW analytikov. 
Analyzuje požiadavky na informačný systém/softvérový systém, formálnym spôsobom zaznamenáva činnosti/procesy, vytvára analytický model systému, okrem analýzy realizuje aj návrh systému, ten vyjadruje návrhovým modelom.  </t>
  </si>
  <si>
    <t xml:space="preserve">Zmena hodnoty NFP podľa nacenenia od víťazného dodávateľa. Vykonáva činnosti v súlade s popisom projektovej role vo Vyhláške č. 85/2020 Z. z. 
Špecialista pre databázy sa zameriava na technickú podporu pre databázové systémy. Zabezpečuje chod databáz alebo databázového systému. Je konzultantom pre užívateľov. Sústreďuje ich požiadavky a podnety a následne ich rieši. zodpovedá za udržiavanie databázy, spravuje používateľské účty/prístupy, zálohuje a optimalizuje chod databázy, identifikuje problémové oblasti a navrhuje riešenia na ich odstránenie. Správca databáz vykonáva, prípadne riadi odborné činnosti v oblasti správy bázy dát a dátových súborov IKT. </t>
  </si>
  <si>
    <t>Zmena hodnoty NFP podľa nacenenia od víťazného dodávateľa. Vykonáva činnosti v súlade s popisom projektovej role vo Vyhláške č. 85/2020 Z. z. 
zodpovedá za dodržanie princípov a štandardov na kybernertickú a IT bezpečnosť, za kontrolu a audit správnosti riešenia v oblasti bezpečnosti.
koordinuje a riadi činnosť v oblasti bezpečnosti prevádzky IT, spolupracuje na projektoch, na rozvoji nástrojov a postupov k optimalizácii bezpečnostných systémov a opatrení. Stanovuje základné požiadavky, podmienky a štandardy pre oblasť bezpečnosti programov, systémov, databázy či sieti. Spracováva a kontroluje príslušné interné predpisy a dohliada nad plnením týchto štandardov a predpisov. Kontroluje a riadi činnosť nad bezpečnostnými testami, bezpečnostnými incidentmi v prevádzke IT. Poskytuje inštrukcie a poradenstvo používateľom počítačov a informačných systémov pre oblasť bezpečnosti</t>
  </si>
  <si>
    <t xml:space="preserve">Zmena hodnoty NFP podľa nacenenia od víťazného dodávateľa. Vykonáva činnosti v súlade s popisom projektovej role vo Vyhláške č. 85/2020 Z. z. 
zodpovedá za návrh architektúry riešenia IS a implementáciu technológií predovšetkým z pohľadu udržateľnosti, kvality a nákladov, za riešenie architektonických cieľov projektu dizajnu IS a súlad s architektonickými princípmi. 
vykonáva, prípadne riadi vysoko odborné tvorivé činnosti v oblasti návrhu IT. Študuje a stanovuje smery technického rozvoja informačných technológií, navrhuje riešenia na optimalizáciu a zvýšenie efektívnosti prostriedkov výpočtovej techniky. Navrhuje základnú architektúru informačných systémov, ich komponentov a vzájomných väzieb. Zabezpečuje projektovanie dizajnu, architektúry IT štruktúry, špecifikácie jej prvkov a parametrov, vhodnej softvérovej a hardvérovej infraštruktúry podľa základnej špecifikácie riešenia. </t>
  </si>
  <si>
    <t>Zmena hodnoty NFP podľa nacenenia od víťazného dodávateľa. Vykonáva činnosti v súlade s popisom projektovej role vo Vyhláške č. 85/2020 Z. z. 
zodpovedá za návrh architektúry riešenia IS a implementáciu technológií predovšetkým z pohľadu udržateľnosti, kvality a nákladov, za riešenie architektonických cieľov projektu dizajnu IS a súlad s architektonickými princípmi. 
vykonáva, prípadne riadi vysoko odborné tvorivé činnosti v oblasti návrhu IT. Študuje a stanovuje smery technického rozvoja informačných technológií, navrhuje riešenia na optimalizáciu a zvýšenie efektívnosti prostriedkov výpočtovej techniky. Navrhuje základnú architektúru informačných systémov, ich komponentov a vzájomných väzieb. Zabezpečuje projektovanie dizajnu, architektúry IT štruktúry, špecifikácie jej prvkov a parametrov, vhodnej softvérovej a hardvérovej infraštruktúry podľa základnej špecifikácie riešenia.</t>
  </si>
  <si>
    <t>Zmena hodnoty NFP podľa nacenenia od víťazného dodávateľa. Transformuje návrh softwarovej aplikácie, na základe jej detailnej špecifikácie a vývojových diagramov, do podoby počítačového programu. Zabezpečuje alebo priamo vykonáva dokumentáciu zdrojového kódu tak, aby tento mohol byť ďalej využívaný a rozvíjaný nezávisle od autora kódu.</t>
  </si>
  <si>
    <t xml:space="preserve">Zmena hodnoty NFP podľa nacenenia od víťazného dodávateľa. Transformuje návrh softwarovej aplikácie, na základe jej detailnej špecifikácie a vývojových diagramov, do podoby počítačového programu. Zabezpečuje alebo priamo vykonáva dokumentáciu zdrojového kódu tak, aby tento mohol byť ďalej využívaný a rozvíjaný nezávisle od autora kódu. </t>
  </si>
  <si>
    <t>Zmena hodnoty NFP podľa nacenenia od víťazného dodávateľa. IT/IS konzultant sa podieľa pri tvorbe riešenia a implementácii informačných technológií, resp. informačného systému. Konzultuje, analyzuje potreby, navrhuje riešenia a rieši potreby v rámci projektu.
(IT/IS konzultant spolupracuje pri implementácii konkrétneho informačného systému v rámci organizácie, ktorý integruje procesy vnútri organizácie a medzi organizáciami navzájom)</t>
  </si>
  <si>
    <t>Zmena hodnoty NFP podľa nacenenia od víťazného dodávateľa. Vykonáva činnosti v súlade s popisom projektovej role vo Vyhláške č. 85/2020 Z. z. 
zodpovedá za priebežné vyžadovanie, hodnotenie a kontrolu kvality (vecnej aj formálnej) počas celého projektu. Je zodpovedný za úvodné nastavenie pravidiel riadenia kvality a za následné dodržiavanie a kontrolu kvality jednotlivých projektových výstupov. Sleduje a hodnotí kvalitatívne ukazovatele projektových výstupov a o zisteniach informuje projektového manažéra objednávateľa formou pravidelných alebo nepravidelných správ/záznamov. 
plánuje, koordinuje, riadi a kontroluje systém manažérstva kvality, monitoruje a meria procesy a identifikuje príležitosti na trvalé zlepšovanie systému manažérstva kvality v organizácii v súlade s platnými normami. Zabezpečuje tvorbu cieľov a koncepcie kvality, vrátane kontroly ich plnenia a vykonáva interné a externé audity kvality v súlade s plánom.•Počas celej doby realizácie projektu zabezpečuje zhodu kvality projektových výstupov s požiadavkami. Realizuje postupy riadenia kvality tak, aby výsledkom boli projektové výstupy spĺňajúce požiadavky objednávateľa. Kontroluje, či sa riadenie a proces zabezpečenia kvality vykonáva správnym spôsobom, v správnom čase a správnymi osobami.</t>
  </si>
  <si>
    <t>Skupina osôb v počte 12 ako vlatníci procesov.
Výpočet: 8 mesiacov * ≈28,8 hodín za mesiac * sadzba na hodinu 24,291 € 
Výpočet sadzby za 1 osobohodinu v EUR: 15,00*1,2*1,3495 = 24,291
Parametre výpočtu:
15,00 = sadzba základnej hrubej mzdy zamestnanca 15,00 EUR za hodinu (počítame s maximálnou možnou výškou 15 EUR)
1,2 = 20% odmena zo mzdy
1,3495 = 34,95% odvody za zamestnávateľa</t>
  </si>
  <si>
    <t>Skupina osôb v počte 24 ako Koneční užívatelia - testeri - kumulovaná špecifická rola: v tejto etape vystupuje ako end user.
Výpočet: 8 mesiacov * ≈28,8 hodín za mesiac * sadzba na hodinu 24,291 € 
Výpočet sadzby za 1 osobohodinu v EUR: 15,00*1,2*1,3495 = 24,291
Parametre výpočtu:
15,00 = sadzba základnej hrubej mzdy zamestnanca 15,00 EUR za hodinu (počítame s maximálnou možnou výškou 15 EUR)
1,2 = 20% odmena zo mzdy
1,3495 = 34,95% odvody za zamestnávateľa</t>
  </si>
  <si>
    <t>Kľúčový používateľ – end user  - člen Riadiaceho výboru projektu.
Výpočet: 8 mesiacov * ≈ 48 hodín za mesiac * sadzba na hodinu 24,291 € 
Výpočet sadzby za 1 osobohodinu v EUR: 15,00*1,2*1,3495 = 24,291
Parametre výpočtu:
15,00 = sadzba základnej hrubej mzdy zamestnanca 15,00 EUR za hodinu (počítame s maximálnou možnou výškou 15 EUR)
1,2 = 20% odmena zo mzdy
1,3495 = 34,95% odvody za zamestnávateľa</t>
  </si>
  <si>
    <t>Pre zálohovací SW je plánované samostatné VO ako zákazka s nízkou hodnotou. Nový výpočet 24 ks súvisí s novým prepočtom parametrov v nadväznosti na parametre Vládneho cloudu MV SR.
Uvedené bolo prerokované aj Riadiacim výborom pre IS KSED zo dňa 12.12.2022.</t>
  </si>
  <si>
    <t>V zmysle výpočtu parametrov zdrojov pre Vládny cloud MV SR bude Produkčné prostredie ako vysoko dostupné a škálovateľné prostredie. Bude samostané VO pre zákazku s nízkou hodnotou. Výpočet počtu ks pre antivírusové aplikácie súvisí s prepočtom parametrov na Vládny cloud MV SR a počtu kusov odolných zariadení v položke č. 44 tohto rozpočtu, ktoré budú nasadené v celom vládnom cloude - testovacie a produkčné prostredie a koncové zariadenia. Uvedené bolo prerokované aj Riadiacim výborom pre IS KSED zo dňa 12.12.2022.</t>
  </si>
  <si>
    <t>Zmena hodnoty NFP podľa nacenenia od víťazného dodávateľa.Špecialista pre infraštruktúry/HW špecialista napr. sa vyjadruje k požiadavkám na IT infraštruktúru a návrhom IT infraštruktúry, zriaďuje/inštaluje, konfiguruje, diagnostikuje, opravuje, upgraduje/ rozširuje hardware a súvisiace technické zariadenia a spolupracuje pri nasadzovaní súvisiaceho SW. Zabezpečuje optimálnu prevádzku a výkon IT infraštruktúry. Rieši technické problémy a poskytuje technickú podporu v súvislosti s IT infraštruktúrou.</t>
  </si>
  <si>
    <t>Zmena hodnoty NFP podľa nacenenia od víťazného dodávateľa. Spracováva a aktualizuje používateľskú a technickú dokumentáciu softvérových riešení a ostatnej projektovej dokumentácie.</t>
  </si>
  <si>
    <t>Kumulovaná interná rola, ktorá vykonáva činnosti v súlade s popisom projektovej role vo Vyhláške č. 85/2020 Z. z.:                                                                                                                                                                                                                                                                                                                                                                                                                                                                                                                                      •dátovej bezpečnosti a aktualizácii a archivácii databáz na úrovni prijímateľa  realizovaného projektu v súlade so štandardami IT;                                                                                                                                                                                                                                                                                        •pravidelnom sledovaní platných právnych predpisov SR v oblasti bezpečnosti IT podľa zákona  o kybernetickej bezpečnosti a zákona o informačných technológiách vo verejnej správe,  usmernení a pokynov QA, MIRRI pre čerpanie fondov EÚ v rámci IKT;                            
•konaní vo vzťahu k dodávateľom, resp. partnerom na projekte.                                                                                                                                                                                                                                                                                                                                                                                                                            •spolupráci na činnostiach v rámci implementácie projektu: monitorovanie, verejné obstarávanie v oblasti IKT, a pod. Spolupracuje na pravidelnom reportovaní stavu projektu RO/SO OP II.                                                                                                                                                                                                                                                                                                                                                                                                                                                                                                                                                                                                                                                                                       •Zodpovedá za udržiavanie databázy, spravuje používateľské účty/prístupy, zálohuje a optimalizuje chod databázy, identifikuje problémové oblasti a navrhuje riešenia na ich odstránenie.                                                                                                                                                                    
•Ako správca databáz vykonáva, prípadne riadi odborné činnosti v oblasti správy bázy dát a dátových súborov IKT.
•Zabezpečuje inštaláciu, testovanie, oživovanie a nastavenie parametrov a následnú správu databázy vrátane prostriedkov a aplikácií na jej využitie. Zabezpečuje migráciu dát, generovanie výstupov, vytváranie relácií a spájanie dát, zálohovanie dát a správu používateľských účtov/prístupov.
•Zabezpečuje monitoring prevádzky bázy dát, administratívne a dokumentačné práce súvisiace so správou databázy a riešenie neštandardných situácií. Poskytuje inštrukcie a poradenstvo používateľom databázových systémov.
•Celý rozsah agendy rieši v súlade s legislatívou o dátových štandardoch SR – Vyhláškou 78/2020 Zz o dátových štandaroch.                                                                                                                                                                                                                                                                                
•Zodpovedá za dodržanie princípov a štandardov na kybernertickú a IT bezpečnosť, za kontrolu a audit správnosti riešenia v oblasti bezpečnosti.
•Koordinuje a riadi činnosť v oblasti bezpečnosti prevádzky IT, spolupracuje na projektoch, na rozvoji nástrojov a postupov k optimalizácii bezpečnostných systémov a opatrení.                                                                                                                                                                                •Stanovuje základné požiadavky, podmienky a štandardy pre oblasť bezpečnosti programov, systémov, databázy či sieti.                                                                                                                                                                                                                                                                                                                                                                                                                                                                      •Spracováva a kontroluje príslušné interné predpisy a dohliada nad plnením týchto štandardov a predpisov.                                                                                                                                                                                                                                                                                                                               •Kontroluje a riadi činnosť nad bezpečnostnými testami, bezpečnostnými incidentmi v prevádzke IT.      
Výpočet: 6 mesiacov * ≈160 hodín za mesiac * sadzba na hodinu 24,291 € 
Výpočet sadzby za 1 osobohodinu v EUR: 15,00*1,2*1,3495 = 24,291
Parametre výpočtu:
15,00 = sadzba základnej hrubej mzdy zamestnanca 15,00 EUR za hodinu (počítame s maximálnou možnou výškou 15 EUR)
1,2 = 20% odmena zo mzdy
1,3495 = 34,95% odvody za zamestnávateľa</t>
  </si>
  <si>
    <t>Skupina osôb v počte 12 ako vlatníci procesov.
Výpočet: 6 mesiacov * ≈28,8 hodín za mesiac * sadzba na hodinu 24,291 € 
Výpočet sadzby za 1 osobohodinu v EUR: 15,00*1,2*1,3495 = 24,291
Parametre výpočtu:
15,00 = sadzba základnej hrubej mzdy zamestnanca 15,00 EUR za hodinu (počítame s maximálnou možnou výškou 15 EUR)
1,2 = 20% odmena zo mzdy
1,3495 = 34,95% odvody za zamestnávateľa</t>
  </si>
  <si>
    <t>Vykonáva činnosti v súlade s popisom projektovej role vo Vyhláške č. 85/2020 Z. z. 
Zodpovedá za riadenie integrácií v realizovanom projekte. V rámci projektu zabezpečuje podporu pri riadení, kontrole a audite procesu integrácie vyvíjaného SW riešenia s ostatnými IS tak, aby integrácia bola vykonaná podľa projektovej dokumentácie a podľa príslušných štandardov. Dohliada na kvalitu riadenia a kontrolu dokumentácie integračných rozhraní ako aj na testovanie integračných rozhraní vrátane. 
IT SENIOR
Výpočet: 6 mesiacov * ≈29,2 hodín za mesiac * sadzba na hodinu 40,485 € 
Výpočet sadzby za 1 osobohodinu v EUR: 25,00*1,2*1,3495 = 40,485
Parametre výpočtu:
25,00 = sadzba základnej hrubej mzdy zamestnanca 25,00 EUR za hodinu (počítame s maximálnou možnou výškou 25 EUR)
1,2 = 20% odmena zo mzdy
1,3495 = 34,95% odvody za zamestnávateľa</t>
  </si>
  <si>
    <t>Skupina osôb v počte 24 ako Koneční užívatelia - testeri - kumulovaná špecifická rola: v tejto etape vystupuje ako end user.
Výpočet: 6 mesiacov * ≈28,8 hodín za mesiac * sadzba na hodinu 24,291 € 
Výpočet sadzby za 1 osobohodinu v EUR: 15,00*1,2*1,3495 = 24,291
Parametre výpočtu:
15,00 = sadzba základnej hrubej mzdy zamestnanca 15,00 EUR za hodinu (počítame s maximálnou možnou výškou 15 EUR)
1,2 = 20% odmena zo mzdy
1,3495 = 34,95% odvody za zamestnávateľa</t>
  </si>
  <si>
    <t>Vlastník procesov - člen Riadiaceho výboru projektu.
Výpočet: 6 mesiacov * ≈ 48 hodín za mesiac * sadzba na hodinu 24,291 € 
Výpočet sadzby za 1 osobohodinu v EUR: 15,00*1,2*1,3495 = 24,291
Parametre výpočtu:
15,00 = sadzba základnej hrubej mzdy zamestnanca 15,00 EUR za hodinu (počítame s maximálnou možnou výškou 15 EUR)
1,2 = 20% odmena zo mzdy
1,3495 = 34,95% odvody za zamestnávateľa</t>
  </si>
  <si>
    <t xml:space="preserve"> Kľúčový používateľ – end user  - člen Riadiaceho výboru projektu.
Výpočet: 6 mesiacov * ≈ 48 hodín za mesiac * sadzba na hodinu 24,291 € 
Výpočet sadzby za 1 osobohodinu v EUR: 15,00*1,2*1,3495 = 24,291
Parametre výpočtu:
15,00 = sadzba základnej hrubej mzdy zamestnanca 15,00 EUR za hodinu (počítame s maximálnou možnou výškou 15 EUR)
1,2 = 20% odmena zo mzdy
1,3495 = 34,95% odvody za zamestnávateľa</t>
  </si>
  <si>
    <t>Vykonáva činnosti v súlade s popisom projektovej role vo Vyhláške č. 85/2020 Z. z. 
Zodpovedá za riadenie migrácií dát v realizovanom projekte. V rámci projektu zabezpečuje podporu pri riadení, kontrole a audite procesu migrácí vyvíjaného SW riešenia s ostatnými IS tak, abymigrácia dát bola vykonaná podľa projektovej dokumentácie a podľa príslušných štandardov. Dohliada na kvalitu riadenia a kontrolu dokumentácie migračných tokov dát  ako aj na testovanie migračných rozhraní vrátane. 
IT SENIOR
Výpočet: 6 mesiacov * ≈29,2 hodín za mesiac * sadzba na hodinu 40,485 € 
Výpočet sadzby za 1 osobohodinu v EUR: 25,00*1,2*1,3495 = 40,485
Parametre výpočtu:
25,00 = sadzba základnej hrubej mzdy zamestnanca 25,00 EUR za hodinu (počítame s maximálnou možnou výškou 25 EUR)
1,2 = 20% odmena zo mzdy
1,3495 = 34,95% odvody za zamestnávateľa</t>
  </si>
  <si>
    <t>Zmena hodnoty NFP podľa nacenenia od víťazného dodávateľa. Zodpovedanie za testovanie softvérových aplikácií s dôrazom na odhaľovanie chýb z hľadiska funkčnosti, použiteľnosti a bezpečnosti využívania softvéru. Vykonávanie manuálneho a automatizovaného testovania aplikácií. Vyhodnocovanie výsledkov uskutočnených testov.</t>
  </si>
  <si>
    <t>Kumulovaná interná rola, ktorá vykonáva činnosti v súlade s popisom projektovej role vo Vyhláške č. 85/2020 Z. z.:                                                                                                                                                                                                                                                                                                                                                                                                                                                                                                                                      •dátovej bezpečnosti a aktualizácii a archivácii databáz na úrovni prijímateľa  realizovaného projektu v súlade so štandardami IT;                                                                                                                                                                                                                                                                                        •pravidelnom sledovaní platných právnych predpisov SR v oblasti bezpečnosti IT podľa zákona  o kybernetickej bezpečnosti a zákona o informačných technológiách vo verejnej správe,  usmernení a pokynov QA, MIRRI pre čerpanie fondov EÚ v rámci IKT;                            
•konaní vo vzťahu k dodávateľom, resp. partnerom na projekte.                                                                                                                                                                                                                                                                                                                                                                                                                            •spolupráci na činnostiach v rámci implementácie projektu: monitorovanie, verejné obstarávanie v oblasti IKT, a pod. Spolupracuje na pravidelnom reportovaní stavu projektu RO/SO OP II.                                                                                                                                                                                                                                                                                                                                                                                                                                                                                                                                                                                                                                                                                       •Zodpovedá za udržiavanie databázy, spravuje používateľské účty/prístupy, zálohuje a optimalizuje chod databázy, identifikuje problémové oblasti a navrhuje riešenia na ich odstránenie.                                                                                                                                                                    
•Ako správca databáz vykonáva, prípadne riadi odborné činnosti v oblasti správy bázy dát a dátových súborov IKT.
•Zabezpečuje inštaláciu, testovanie, oživovanie a nastavenie parametrov a následnú správu databázy vrátane prostriedkov a aplikácií na jej využitie. Zabezpečuje migráciu dát, generovanie výstupov, vytváranie relácií a spájanie dát, zálohovanie dát a správu používateľských účtov/prístupov.
•Zabezpečuje monitoring prevádzky bázy dát, administratívne a dokumentačné práce súvisiace so správou databázy a riešenie neštandardných situácií. Poskytuje inštrukcie a poradenstvo používateľom databázových systémov.
•Celý rozsah agendy rieši v súlade s legislatívou o dátových štandardoch SR – Vyhláškou 78/2020 Zz o dátových štandaroch.                                                                                                                                                                                                                                                                                
•Zodpovedá za dodržanie princípov a štandardov na kybernertickú a IT bezpečnosť, za kontrolu a audit správnosti riešenia v oblasti bezpečnosti.
•Koordinuje a riadi činnosť v oblasti bezpečnosti prevádzky IT, spolupracuje na projektoch, na rozvoji nástrojov a postupov k optimalizácii bezpečnostných systémov a opatrení.                                                                                                                                                                                •Stanovuje základné požiadavky, podmienky a štandardy pre oblasť bezpečnosti programov, systémov, databázy či sieti.                                                                                                                                                                                                                                                                                                                                                                                                                                                                      •Spracováva a kontroluje príslušné interné predpisy a dohliada nad plnením týchto štandardov a predpisov.                                                                                                                                                                                                                                                                                                                               •Kontroluje a riadi činnosť nad bezpečnostnými testami, bezpečnostnými incidentmi v prevádzke IT.      
Výpočet: 4 mesiacov * ≈160 hodín za mesiac * sadzba na hodinu 24,291 € 
Výpočet sadzby za 1 osobohodinu v EUR: 15,00*1,2*1,3495 = 24,291
Parametre výpočtu:
15,00 = sadzba základnej hrubej mzdy zamestnanca 15,00 EUR za hodinu (počítame s maximálnou možnou výškou 15 EUR)
1,2 = 20% odmena zo mzdy
1,3495 = 34,95% odvody za zamestnávateľa</t>
  </si>
  <si>
    <t>Skupina osôb v počte 12 ako vlatníci procesov.
Výpočet: 4 mesiacov * ≈28,8 hodín za mesiac * sadzba na hodinu 24,291 € 
Výpočet sadzby za 1 osobohodinu v EUR: 15,00*1,2*1,3495 = 24,291
Parametre výpočtu:
15,00 = sadzba základnej hrubej mzdy zamestnanca 15,00 EUR za hodinu (počítame s maximálnou možnou výškou 15 EUR)
1,2 = 20% odmena zo mzdy
1,3495 = 34,95% odvody za zamestnávateľa</t>
  </si>
  <si>
    <t>Vykonáva činnosti v súlade s popisom projektovej role vo Vyhláške č. 85/2020 Z. z. 
Zodpovedá za riadenie integrácií v realizovanom projekte. V rámci projektu zabezpečuje podporu pri riadení, kontrole a audite procesu integrácie vyvíjaného SW riešenia s ostatnými IS tak, aby integrácia bola vykonaná podľa projektovej dokumentácie a podľa príslušných štandardov. Dohliada na kvalitu riadenia a kontrolu dokumentácie integračných rozhraní ako aj na testovanie integračných rozhraní vrátane. 
IT SENIOR
Výpočet: 4 mesiacov * ≈29,2 hodín za mesiac * sadzba na hodinu 40,485 € 
Výpočet sadzby za 1 osobohodinu v EUR: 25,00*1,2*1,3495 = 40,485
Parametre výpočtu:
25,00 = sadzba základnej hrubej mzdy zamestnanca 25,00 EUR za hodinu (počítame s maximálnou možnou výškou 25 EUR)
1,2 = 20% odmena zo mzdy
1,3495 = 34,95% odvody za zamestnávateľa</t>
  </si>
  <si>
    <t>Skupina osôb v počte 24 ako Koneční užívatelia - testeri - kumulovaná špecifická rola: v tejto etape vystupuje ako tester.
Výpočet: 4 mesiacov * ≈28,8 hodín za mesiac * sadzba na hodinu 24,291 € 
Výpočet sadzby za 1 osobohodinu v EUR: 15,00*1,2*1,3495 = 24,291
Parametre výpočtu:
15,00 = sadzba základnej hrubej mzdy zamestnanca 15,00 EUR za hodinu (počítame s maximálnou možnou výškou 15 EUR)
1,2 = 20% odmena zo mzdy
1,3495 = 34,95% odvody za zamestnávateľa</t>
  </si>
  <si>
    <t>Vlastník procesov - člen Riadiaceho výboru projektu.
Výpočet: 4 mesiacov * ≈ 48 hodín za mesiac * sadzba na hodinu 24,291 € 
Výpočet sadzby za 1 osobohodinu v EUR: 15,00*1,2*1,3495 = 24,291
Parametre výpočtu:
15,00 = sadzba základnej hrubej mzdy zamestnanca 15,00 EUR za hodinu (počítame s maximálnou možnou výškou 15 EUR)
1,2 = 20% odmena zo mzdy
1,3495 = 34,95% odvody za zamestnávateľa</t>
  </si>
  <si>
    <t>Kľúčový používateľ – end user  - člen Riadiaceho výboru projektu.
Výpočet: 4 mesiacov * ≈ 48 hodín za mesiac * sadzba na hodinu 24,291 € 
Výpočet sadzby za 1 osobohodinu v EUR: 15,00*1,2*1,3495 = 24,291
Parametre výpočtu:
15,00 = sadzba základnej hrubej mzdy zamestnanca 15,00 EUR za hodinu (počítame s maximálnou možnou výškou 15 EUR)
1,2 = 20% odmena zo mzdy
1,3495 = 34,95% odvody za zamestnávateľa</t>
  </si>
  <si>
    <t>Vykonáva činnosti v súlade s popisom projektovej role vo Vyhláške č. 85/2020 Z. z. 
Zodpovedá za riadenie migrácií dát v realizovanom projekte. V rámci projektu zabezpečuje podporu pri riadení, kontrole a audite procesu migrácí vyvíjaného SW riešenia s ostatnými IS tak, abymigrácia dát bola vykonaná podľa projektovej dokumentácie a podľa príslušných štandardov. Dohliada na kvalitu riadenia a kontrolu dokumentácie migračných tokov dát  ako aj na testovanie migračných rozhraní vrátane. 
IT SENIOR
Výpočet: 4 mesiacov * ≈29,2 hodín za mesiac * sadzba na hodinu 40,485 € 
Výpočet sadzby za 1 osobohodinu v EUR: 25,00*1,2*1,3495 = 40,485
Parametre výpočtu:
25,00 = sadzba základnej hrubej mzdy zamestnanca 25,00 EUR za hodinu (počítame s maximálnou možnou výškou 25 EUR)
1,2 = 20% odmena zo mzdy
1,3495 = 34,95% odvody za zamestnávateľa</t>
  </si>
  <si>
    <t>Zmena hodnoty NFP podľa nacenenia od víťazného dodávateľa. Pripravuje a tvorí obsah školenia, osobne ho prezentuje a vyučuje.</t>
  </si>
  <si>
    <t>Kumulovaná interná rola, ktorá vykonáva činnosti v súlade s popisom projektovej role vo Vyhláške č. 85/2020 Z. z.:                                                                                                                                                                                                                                                                                                                                                                                                                                                                                                                                      •dátovej bezpečnosti a aktualizácii a archivácii databáz na úrovni prijímateľa  realizovaného projektu v súlade so štandardami IT;                                                                                                                                                                                                                                                                                        •pravidelnom sledovaní platných právnych predpisov SR v oblasti bezpečnosti IT podľa zákona  o kybernetickej bezpečnosti a zákona o informačných technológiách vo verejnej správe,  usmernení a pokynov QA, MIRRI pre čerpanie fondov EÚ v rámci IKT;                            
•konaní vo vzťahu k dodávateľom, resp. partnerom na projekte.                                                                                                                                                                                                                                                                                                                                                                                                                            •spolupráci na činnostiach v rámci implementácie projektu: monitorovanie, verejné obstarávanie v oblasti IKT, a pod. Spolupracuje na pravidelnom reportovaní stavu projektu RO/SO OP II.                                                                                                                                                                                                                                                                                                                                                                                                                                                                                                                                                                                                                                                                                       •Zodpovedá za udržiavanie databázy, spravuje používateľské účty/prístupy, zálohuje a optimalizuje chod databázy, identifikuje problémové oblasti a navrhuje riešenia na ich odstránenie.                                                                                                                                                                    •Ako správca databáz vykonáva, prípadne riadi odborné činnosti v oblasti správy bázy dát a dátových súborov IKT.
•Zabezpečuje inštaláciu, testovanie, oživovanie a nastavenie parametrov a následnú správu databázy vrátane prostriedkov a aplikácií na jej využitie. Zabezpečuje migráciu dát, generovanie výstupov, vytváranie relácií a spájanie dát, zálohovanie dát a správu používateľských účtov/prístupov.
•Zabezpečuje monitoring prevádzky bázy dát, administratívne a dokumentačné práce súvisiace so správou databázy a riešenie neštandardných situácií. Poskytuje inštrukcie a poradenstvo používateľom databázových systémov.
•Celý rozsah agendy rieši v súlade s legislatívou o dátových štandardoch SR – Vyhláškou 78/2020 Zz o dátových štandaroch.                                                                                                                                                                                                                                                                                •Zodpovedá za dodržanie princípov a štandardov na kybernertickú a IT bezpečnosť, za kontrolu a audit správnosti riešenia v oblasti bezpečnosti.
•Koordinuje a riadi činnosť v oblasti bezpečnosti prevádzky IT, spolupracuje na projektoch, na rozvoji nástrojov a postupov k optimalizácii bezpečnostných systémov a opatrení.                                                                                                                                                                                •Stanovuje základné požiadavky, podmienky a štandardy pre oblasť bezpečnosti programov, systémov, databázy či sieti.                                                                                                                                                                                                                                                                                                                                                                                                                                                                      •Spracováva a kontroluje príslušné interné predpisy a dohliada nad plnením týchto štandardov a predpisov.                                                                                                                                                                                                                                                                                                                               •Kontroluje a riadi činnosť nad bezpečnostnými testami, bezpečnostnými incidentmi v prevádzke IT.      
Výpočet: 1 mesiac * ≈160 hodín za mesiac * sadzba na hodinu 24,291 € 
Výpočet sadzby za 1 osobohodinu v EUR: 15,00*1,2*1,3495 = 24,291
Parametre výpočtu:
15,00 = sadzba základnej hrubej mzdy zamestnanca 15,00 EUR za hodinu (počítame s maximálnou možnou výškou 15 EUR)
1,2 = 20% odmena zo mzdy
1,3495 = 34,95% odvody za zamestnávateľa</t>
  </si>
  <si>
    <t>Skupina osôb v počte 12 ako vlatníci procesov.
Výpočet: 1 mesiac * ≈ 28,8 hodín za mesiac * sadzba na hodinu 24,291 € 
Výpočet sadzby za 1 osobohodinu v EUR: 15,00*1,2*1,3495 = 24,291
Parametre výpočtu:
15,00 = sadzba základnej hrubej mzdy zamestnanca 15,00 EUR za hodinu (počítame s maximálnou možnou výškou 15 EUR)
1,2 = 20% odmena zo mzdy
1,3495 = 34,95% odvody za zamestnávateľa</t>
  </si>
  <si>
    <t>Vykonáva činnosti v súlade s popisom projektovej role vo Vyhláške č. 85/2020 Z. z. 
Zodpovedá za riadenie integrácií v realizovanom projekte. V rámci projektu zabezpečuje podporu pri riadení, kontrole a audite procesu integrácie vyvíjaného SW riešenia s ostatnými IS tak, aby integrácia bola vykonaná podľa projektovej dokumentácie a podľa príslušných štandardov. Dohliada na kvalitu riadenia a kontrolu dokumentácie integračných rozhraní ako aj na testovanie integračných rozhraní vrátane. 
IT SENIOR
Výpočet: 1 mesiac * ≈29,2 hodín za mesiac * sadzba na hodinu 40,485 € 
Výpočet sadzby za 1 osobohodinu v EUR: 25,00*1,2*1,3495 = 40,485
Parametre výpočtu:
25,00 = sadzba základnej hrubej mzdy zamestnanca 25,00 EUR za hodinu (počítame s maximálnou možnou výškou 25 EUR)
1,2 = 20% odmena zo mzdy
1,3495 = 34,95% odvody za zamestnávateľa</t>
  </si>
  <si>
    <t>Skupina osôb v počte 24 ako Koneční užívatelia - testeri - kumulovaná špecifická rola: v tejto etape vystupuje ako end user.
Výpočet: 1 mesiac * ≈28,8 hodín za mesiac * sadzba na hodinu 24,291 € 
Výpočet sadzby za 1 osobohodinu v EUR: 15,00*1,2*1,3495 = 24,291
Parametre výpočtu:
15,00 = sadzba základnej hrubej mzdy zamestnanca 15,00 EUR za hodinu (počítame s maximálnou možnou výškou 15 EUR)
1,2 = 20% odmena zo mzdy
1,3495 = 34,95% odvody za zamestnávateľa</t>
  </si>
  <si>
    <t>Vlastník procesov - člen Riadiaceho výboru projektu.
Výpočet: 1 mesiac * ≈ 48 hodín za mesiac * sadzba na hodinu 24,291 € 
Výpočet sadzby za 1 osobohodinu v EUR: 15,00*1,2*1,3495 = 24,291
Parametre výpočtu:
15,00 = sadzba základnej hrubej mzdy zamestnanca 15,00 EUR za hodinu (počítame s maximálnou možnou výškou 15 EUR)
1,2 = 20% odmena zo mzdy
1,3495 = 34,95% odvody za zamestnávateľa</t>
  </si>
  <si>
    <t>Kľúčový používateľ – end user  - člen Riadiaceho výboru projektu.
Výpočet: 1 mesiac * ≈ 48 hodín za mesiac * sadzba na hodinu 24,291 € 
Výpočet sadzby za 1 osobohodinu v EUR: 15,00*1,2*1,3495 = 24,291
Parametre výpočtu:
15,00 = sadzba základnej hrubej mzdy zamestnanca 15,00 EUR za hodinu (počítame s maximálnou možnou výškou 15 EUR)
1,2 = 20% odmena zo mzdy
1,3495 = 34,95% odvody za zamestnávateľa</t>
  </si>
  <si>
    <t>Vykonáva činnosti v súlade s popisom projektovej role vo Vyhláške č. 85/2020 Z. z. 
Zodpovedá za riadenie migrácií dát v realizovanom projekte. V rámci projektu zabezpečuje podporu pri riadení, kontrole a audite procesu migrácí vyvíjaného SW riešenia s ostatnými IS tak, abymigrácia dát bola vykonaná podľa projektovej dokumentácie a podľa príslušných štandardov. Dohliada na kvalitu riadenia a kontrolu dokumentácie migračných tokov dát  ako aj na testovanie migračných rozhraní vrátane. 
IT SENIOR
Výpočet: 1 mesiac * ≈29,2 hodín za mesiac * sadzba na hodinu 40,485 € 
Výpočet sadzby za 1 osobohodinu v EUR: 25,00*1,2*1,3495 = 40,485
Parametre výpočtu:
25,00 = sadzba základnej hrubej mzdy zamestnanca 25,00 EUR za hodinu (počítame s maximálnou možnou výškou 25 EUR)
1,2 = 20% odmena zo mzdy
1,3495 = 34,95% odvody za zamestnávateľa</t>
  </si>
  <si>
    <t xml:space="preserve">Náklady zahŕňajú 100% mzdových nákladov projektového manažéra, počas 24 mesiacov trvania podporných aktivít. 
Výpočet sadzby za 1 človekodeň v EUR: 15*1,2*1,3495. 
Parametre výpočtu:
15 = sadzba základnej hrubej mzdy zamestnanca 15 EUR za hodinu
1,2 = 20% odmena zo mzdy
1,3495 = 34,95% odvody za zamestnávateľa
Výpočet mzdy je v súlade s aktuálnou mzdovou politikou SIŽP. V stĺpci "G - Jednotková cena bez DPH (v EUR)“ je uvedená celková cena práce, vzhľadom k charakteru mzdových výdavkov. </t>
  </si>
  <si>
    <t>Náklady zahŕňajú 40% mzdových nákladov finančného manažéra počas 24mesiacov trvania podporných aktivít. 
Výpočet sadzby za 1 človekodeň v EUR: 13*1,2*1,3495. 
Parametre výpočtu:
13 = sadzba základnej hrubej mzdy zamestnanca 13 EUR za hodinu (nepočítame s maximálnou možnou výškou 15 EUR)
1,2 = 20% odmena zo mzdy
1,3495 = 34,95% odvody za zamestnávateľa
Výpočet mzdy je v súlade s aktuálnou mzdovou politikou SIŽP. V stĺpci "G - Jednotková cena bez DPH (v EUR)“ je uvedená celková cena práce, vzhľadom k charakteru mzdových výdavkov. V nadväznosti na uvedené bol adekvátne upravený vzorec v stĺpci „I - Spolu s DPH (v EUR)“</t>
  </si>
  <si>
    <t>Náklady zahŕňajú 10% mzdových nákladov administratívneho pracovníka, počas 24 mesiacov trvania projektu. 
Výpočet sadzby za 1 človekodeň v EUR: 12*1,2*1,3495. 
Parametre výpočtu:
10 = sadzba základnej hrubej mzdy zamestnanca 12 EUR za hodinu (nepočítame s maximálnou možnou výškou 15 EUR)
1,2 = 20% odmena zo mzdy
1,3495 = 34,95% odvody za zamestnávateľa
Výpočet mzdy je v súlade s aktuálnou mzdovou politikou SIŽP. V stĺpci "G - Jednotková cena bez DPH (v EUR)“ je uvedená celková cena práce, vzhľadom k charakteru mzdových výdavkov. V nadväznosti na uvedené bol adekvátne upravený vzorec v stĺpci „I - Spolu s DPH (v EUR)“</t>
  </si>
  <si>
    <t>Náklady zahŕňajú 100% mzdových nákladov asistenta, počas 24 mesiacov trvania podporných aktivít. 
Výpočet sadzby za 1 človekodeň  v EUR: 14*1,2*1,3495. 
Parametre výpočtu:
14 = sadzba základnej hrubej mzdy zamestnanca 14 EUR za hodinu (nepočítame s maximálnou možnou výškou 15 EUR)
1,2 = 20% odmena zo mzdy
1,3495 = 34,95% odvody za zamestnávateľa
Výpočet mzdy je v súlade s aktuálnou mzdovou politikou SIŽP. V stĺpci "G - Jednotková cena bez DPH (v EUR)“ je uvedená celková cena práce, vzhľadom k charakteru mzdových výdavkov. V nadväznosti na uvedené bol adekvátne upravený vzorec v stĺpci „I - Spolu s DPH (v EUR)“</t>
  </si>
  <si>
    <t>Podľa poslednej PHZ vychádza priemer na nasledovnú sumu s DPH: 20 398,35 EUR. Nákup technického vybavenia pre zamestnancov (notebooky, monitory, klavesnice, dokovacie stanice, myši, príslušenstvo, vrátane kabeláže), iné potrebné technické vybavenie prislúchajúce k nákupu technického vybavenia pre zamestnancov v rámci realizácie projektu.
V procese verejného obstarávania bude presne špecifikované čo bude obsahom danej zostavy. Zákazka s nízkou hodnotou podľa §117 zákona č. 343/2015 Z. z.</t>
  </si>
  <si>
    <t>Podľa poslednej PHZ vychádza priemer vyššie ako bolo pôvodne uvedené v roku 2019. Nákup technického vybavenia pre zamestnancov (data projektor s plátnom vrátane príslušenstva a kabeláže), iné potrebné technické vybavenie prislúchajúce k nákupu technického vybavenia pre zamestnancov v rámci realizácie projektu.</t>
  </si>
  <si>
    <t>Podľa poslednej PHZ vychádza priemer vyššie ako bolo pôvodne uvedené v roku 2019.Zmena v prekvalifikovaní skupiny výdavkov. Nákup technického vybavenia pre zamestnancov (multifunčné zariadenie vrátane príslušenstva a kabeláže), iné potrebné technické vybavenie prislúchajúce k nákupu technického vybavenia pre zamestnancov v rámci realizácie projektu.</t>
  </si>
  <si>
    <t>Realizácia podporných aktivít projektu v oblasti Quality Assurance (QA) prostredníctvom interných zamestnancov MIRRI alebo spolupracovníkov MIRRI na základe dohôd o výkone prác mimo pracovného pomeru (výška MD je vypočítaná na základe max. výšky hodinovej mzdy 24 EUR a možnosti odmeny vo výške 20%, t.j. 24*7,5*1,2*1,3495)
Spôsob výpočtu - pre interné zdroje:
24 = sadzba 24 EUR za hodinu - výška MD je vypočítaná na základe výšky hodinovej mzdy 24 EUR (nepočítame s maximálnou výškou 25 EUR)
7,5 = 7,5 hodín z pracovného času (t.j. 8 hodín – 30 minút na obed)
1,2 = 20% odmena zo mzdy
1,3495 = 34,95% odvody za zamestnávateľa
Rozsah realizovaných aktívít QA (Riadenie kvality) je vymedzený dohodou hlavného partnera a partnera a v súlade s Prílohou 1. a Prílohou 3. k Vyhláške 85/2020 Zz. a v súlade so samotnou Vyhláškou 85/2020 Zz.
Analýza výstupov (ŠU) Štúdie uskutočniteľnosti potrebných pre spracovanie SÚŤAŽNÝCH PODKLADOV
Reívzia, kontrola a oponentúra - SÚŤAŽNÝCH PODKLADOV (ZoD a opis predmetu zákazky diela), DOKUMENTÁCIE k VO a ZMLUVY s DODÁVATEĽOM
Reívzia, kontrola a oponentúra - k PLÁNOVANÝM VÝSTUPOM projektu voči schválenému obsahu výstupov v (ŠÚ) Štúdii uskutočniteľnosti
Revízia, kontrola a oponentúra - P_01 / I_01 - Projektový zámer (Project Brief)
Revízia, kontrola a oponentúra - P_01 - príloha / I_01 - príloha - Zoznam rizík (Risk Register)
Revízia, kontrola a oponentúra - P_02 / I_02 - Odôvodnenie projektu a katalóg požiadaviek (BC/CBA)
Revízia, kontrola a oponentúra - P_03 / I_03 - Prístup k projektu (Project Approach)
Revízia, kontrola a oponentúra - P_04 / I_04 - Plán projektu (Project Plan)
Revízia, kontrola a oponentúra - I_04 - Projektový inicálny dokument (PID)
Revízia, kontrola a oponentúra - I_04 - príloha - Akceptačné kritériá (Acceptance Criteria)
Revízia, kontrola a oponentúra - R1_1 - Detailný návrh riešenia (DNR)
Revízia, kontrola a oponentúra - R1_1 - Funkčný prototyp (Vyhláška 85/2020 Zz, §4, odsl 12.)
Revízia, kontrola a oponentúra - R1_2 - Plán testov
Revízia, kontrola a oponentúra - R3_1 - Vývoj a integrácia - špecializovaný produkt
Revízia, kontrola a oponentúra - R3_2 - FAT - Funkčné testovanie - špecializovaný produkt
Revízia, kontrola a oponentúra - R3_3 - Školenia personálu - špecializovaný produkt
Revízia, kontrola a oponentúra - R3_4 - Dokumentácia a príručky - špecializovaný produkt
Revízia, kontrola a oponentúra - R4_1 - Nasadenie do produkcie (vyhodnotenie) - špecializovaný produkt
Revízia, kontrola a oponentúra - R4_2 - Preskúšanie a akceptácia (vyhodnotenie) - špecializovaný produkt
Revízia, kontrola a oponentúra - D_01 - Manažérske správy, plány a odporúčania
Revízia, kontrola a oponentúra - M_01 - Plán Etapy / Plán Fázy 
Revízia, kontrola a oponentúra - M_02 - Manažérske správy, reporty, zoznamy a požiadavky - priebežné 
Revízia, kontrola a oponentúra - M_03 - Akceptačný protokol
Revízia, kontrola a oponentúra dokumentácie, procesov a priebehu projektu - M_04 - vykonanie AUDITU KVALITY projektu 
AUDIT KVALITY zameraný manažérsku, špecializovanú dokumentáciu
Revízia, kontrola a oponentúra - M_01 - Plán Etapy / Plán Fázy 
Revízia, kontrola a oponentúra - M_02 - Manažérske správy, reporty, zoznamy a požiadavky - priebežné 
Revízia, kontrola a oponentúra - M_03 - Akceptačný protokol
Revízia, kontrola a oponentúra dokumentácie, procesov a priebehu projektu - M_04 - vykonanie AUDITU KVALITY projektu 
AUDIT KVALITY zameraný manažérsku, špecializovanú dokumentáciu</t>
  </si>
  <si>
    <t>REÁLNE ČERPANIE (aj ŠR) - sumy k 06/2024</t>
  </si>
  <si>
    <t>Hodnoty z Dodaktu 3 k zmluve SLA</t>
  </si>
  <si>
    <t>Paušálne služby</t>
  </si>
  <si>
    <t>mesiac</t>
  </si>
  <si>
    <t>Priemerná mesačná hrubá mzda vo verejnej správe za 1. - 4. Q./2021 (obdobie aktualizovať k času predloženia dokumentu), podľa ŠÚ SR</t>
  </si>
  <si>
    <t>Priemerná mzda v NH (Cperc) za rok</t>
  </si>
  <si>
    <t>Rok 2021 dokopy 251 pracovných dní, t.j. 2008 pracovných hodín.
S platenými sviatkami má rok 261 pracovných dní, t.j. 2088 pracovných hodín. 8 hodinový pracovný čas (obdobie aktualizovať k času predloženia dokumentu), podľa https://calendar.zoznam.sk/worktime-sksk.php?hy=2019</t>
  </si>
  <si>
    <t>Rok 2021 má dokopy 251 pracovných dní, t.j. 1882.5 pracovných hodín.
S platenými sviatkami má rok 261 pracovných dní, t.j. 1957.5 pracovných hodín. 7,5 hodinový pracovný čas (obdobie aktualizovať k času predloženia dokumentu), podľa https://calendar.zoznam.sk/worktime-sksk.php?hy=2019</t>
  </si>
  <si>
    <t>https://calendar.zoznam.sk/worktime-sksk.php?hy=2021</t>
  </si>
  <si>
    <t>http://statdat.statistics.sk/cognosext/cgi-bin/cognos.cgi?b_action=cognosViewer&amp;ui.action=run&amp;ui.object=storeID(%22i2F54CEABC9464EB6B9D47D7B63C86C2B%22)&amp;ui.name=Priemern%c3%a1%20mesa%c4%8dn%c3%a1%20mzda%20pod%c4%bea%20odvetv%c3%ad%20%5bpr0205qs%5d&amp;run.outputFormat=&amp;run.prompt=true&amp;cv.header=false&amp;ui.backURL=%2fcognosext%2fcps4%2fportlets%2fcommon%2fclose.html</t>
  </si>
  <si>
    <t>Zdroj:</t>
  </si>
  <si>
    <t>https://www.crz.gov.sk/8337725-sk/2432023-d/</t>
  </si>
  <si>
    <t>Hodnota pred aktualizáciou - rok 2017</t>
  </si>
  <si>
    <t>Priemerná mesačná hrubá mzda v národnom hospodárstve SR za 1. - 4. Q./2021 (obdobie aktualizovať k času predloženia dokumentu), podľa ŠÚ SR</t>
  </si>
  <si>
    <t>Priemerná mesačná mzda - hospodárstvo SR úhrnom za rok 2021 (1. - 4. Q./2021)</t>
  </si>
  <si>
    <t xml:space="preserve">Priemer SU a rok 2021 </t>
  </si>
  <si>
    <t>(hodnoty sú porovnateľné s priemerom za roky 2021-2024)</t>
  </si>
  <si>
    <t>Dodatočné hodiny v TOBE stave na zvýšenie súladu s požiadavkou legislatívy na výkon kontroly 2 inšpektormi (ref. bod 13 v časti B dôvodovej správy k novele zákona č. 10/1996 Z.z. o kontrole v štátnej správe.)</t>
  </si>
  <si>
    <t>Aktualizácia prínosovovej stránku - stav pri ukončení projektu</t>
  </si>
  <si>
    <t>Umožnenie práce na diaľku vzhľadom na použitie elektronického systému. Časová úspora - inšpektori nemusia ísť na úrad pre podklady a zariadenia pred kontrolou a môžu ísť priamo na kontrolu. Tiež môžu časť prípravy realizovať na diaľku. 
Odhad úspory 3 hodiny týždenne na inšpektora. Úspora je uvažovaná z časového fondu, ktorý je uvažovaný na kontrolu - parameter % využitia času inšpektorov na inšpekčnú činnosť.
Kvantitatívne: úspora v priemer 1 hodina 3 dni v týždni, na inšpektora</t>
  </si>
  <si>
    <t>Počet hodín za rok na inšpektora</t>
  </si>
  <si>
    <t>Kapacita spolu na inšpekčnú činnosť</t>
  </si>
  <si>
    <t>Počet hodín spolu za rok za všetkých inšpektorov</t>
  </si>
  <si>
    <t>Počet hodín spolu za rok za všetkých inšpektorov vo finančnom vyjadrení</t>
  </si>
  <si>
    <t>Prepočet úspory hodín na počet kontrol ASIS (vychodiská k roku 2021)</t>
  </si>
  <si>
    <t>neuvažované</t>
  </si>
  <si>
    <t>Reálne čerpanie rozpočtu</t>
  </si>
  <si>
    <t>Revidované odhady vo väzbe na DNR (Zdroj Príloha DNR 07_IS_KSED_KPI.xlsx) - po kalibrácii na fond práce</t>
  </si>
  <si>
    <t>Priemer 2019-2021 (do roku 2021 kedže projekt začal 2022)</t>
  </si>
  <si>
    <t>uvažované 2 FTE IT pracovníkov, 1 FTE biznis vlastníkov</t>
  </si>
  <si>
    <t>Prínos z umožnenia práce na diaľku v rámci prípravy na kontrolu</t>
  </si>
  <si>
    <t>V ASIS stave je približne 20% kontrol realizovaných takýmto spôsobom. Realizácia daného zákonom upraveného spôsobu pri väčšine kontrol predĺži trvanie kontrol odhadom v priemere o 10 hodín v TOBE stave. Zvýšená prácnosť sa týka niektorých častí výkonu kontroly. Po nasadení systému bude SIŽP kontroly iba výnimočne/odôvodnene realizovať inak, ako takto zákonom upraveným spôsobom, čo však zníži celkovú kapacitu na realizáciu kontrol a teda aj plánovaný počet kontrol v TOBE stave (zníženie KPI 4000 kontrol ročne v TOBE).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</si>
</sst>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0.0%"/>
    <numFmt numFmtId="167" formatCode="#,##0_ ;\-#,##0;\-;@"/>
    <numFmt numFmtId="168" formatCode="0.00;\-0.00;\-;@"/>
    <numFmt numFmtId="169" formatCode="#,##0.00\ &quot;€&quot;"/>
    <numFmt numFmtId="170" formatCode="#,##0\ &quot;€&quot;"/>
    <numFmt numFmtId="171" formatCode="#,##0\ &quot;€&quot;;\-#,##0\ &quot;€&quot;;[Green]#,##0\ &quot;€&quot;"/>
    <numFmt numFmtId="172" formatCode="#,##0.00\ &quot;€&quot;;\-#,##0.00\ &quot;€&quot;;[Green]#,##0.00\ &quot;€&quot;"/>
    <numFmt numFmtId="173" formatCode="#,##0.000"/>
    <numFmt numFmtId="174" formatCode="\+0%;\-0%;0%"/>
    <numFmt numFmtId="175" formatCode="\+#,##0;\-#,##0;0"/>
    <numFmt numFmtId="176" formatCode="#,##0.00_ ;\-#,##0.00;\-;@"/>
    <numFmt numFmtId="177" formatCode="_-* #,##0.00\ [$€-1]_-;\-* #,##0.00\ [$€-1]_-;_-* &quot;-&quot;??\ [$€-1]_-;_-@_-"/>
    <numFmt numFmtId="178" formatCode="_-* #,##0.00\ &quot;EUR&quot;_-;\-* #,##0.00\ &quot;EUR&quot;_-;_-* &quot;-&quot;??\ &quot;EUR&quot;_-;_-@_-"/>
    <numFmt numFmtId="179" formatCode="_-* #,##0\ &quot;€&quot;_-;\-* #,##0\ &quot;€&quot;_-;_-* &quot;-&quot;??\ &quot;€&quot;_-;_-@_-"/>
    <numFmt numFmtId="180" formatCode="\+#,##0;\-#,##0;#,##0"/>
    <numFmt numFmtId="181" formatCode="\+#,##0.000;\-#,##0.000;#,##0.000"/>
  </numFmts>
  <fonts count="120" x14ac:knownFonts="1">
    <font>
      <sz val="11"/>
      <color theme="1"/>
      <name val="Calibri"/>
      <family val="2"/>
      <charset val="238"/>
      <scheme val="minor"/>
    </font>
    <font>
      <sz val="9"/>
      <color theme="1"/>
      <name val="Consolas"/>
      <family val="2"/>
      <charset val="238"/>
    </font>
    <font>
      <sz val="11"/>
      <color theme="1"/>
      <name val="Calibri"/>
      <family val="2"/>
      <scheme val="minor"/>
    </font>
    <font>
      <sz val="9"/>
      <color theme="1"/>
      <name val="Consolas"/>
      <family val="2"/>
      <charset val="238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name val="Arial Narrow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18"/>
      <name val="Arial"/>
      <family val="2"/>
      <charset val="238"/>
    </font>
    <font>
      <sz val="11"/>
      <color theme="1"/>
      <name val="Calibri"/>
      <family val="2"/>
      <charset val="238"/>
    </font>
    <font>
      <b/>
      <sz val="24"/>
      <color rgb="FF000000"/>
      <name val="Calibri"/>
      <family val="2"/>
      <charset val="238"/>
    </font>
    <font>
      <b/>
      <sz val="11"/>
      <color rgb="FF00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i/>
      <sz val="9"/>
      <color rgb="FF000000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b/>
      <sz val="8"/>
      <color rgb="FFFA7D00"/>
      <name val="Calibri"/>
      <family val="2"/>
      <charset val="238"/>
      <scheme val="minor"/>
    </font>
    <font>
      <sz val="9"/>
      <color rgb="FF006100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9"/>
      <color theme="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9"/>
      <color theme="2" tint="-0.249977111117893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rgb="FFFA7D00"/>
      <name val="Calibri"/>
      <family val="2"/>
      <charset val="238"/>
      <scheme val="minor"/>
    </font>
    <font>
      <sz val="8"/>
      <color rgb="FFFA7D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color rgb="FF006100"/>
      <name val="Arial Narrow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6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5" tint="-0.249977111117893"/>
      <name val="Arial"/>
      <family val="2"/>
      <charset val="238"/>
    </font>
    <font>
      <sz val="11"/>
      <color theme="5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1"/>
      <color theme="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sz val="11"/>
      <color theme="5" tint="-0.499984740745262"/>
      <name val="Calibri"/>
      <family val="2"/>
      <charset val="238"/>
      <scheme val="minor"/>
    </font>
    <font>
      <b/>
      <sz val="11"/>
      <color theme="5" tint="-0.499984740745262"/>
      <name val="Calibri"/>
      <family val="2"/>
      <charset val="238"/>
      <scheme val="minor"/>
    </font>
    <font>
      <sz val="9"/>
      <color theme="5" tint="-0.249977111117893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sz val="11"/>
      <color rgb="FF00B05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sz val="11"/>
      <color theme="0" tint="-0.499984740745262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trike/>
      <sz val="9"/>
      <color theme="0" tint="-0.499984740745262"/>
      <name val="Arial"/>
      <family val="2"/>
      <charset val="238"/>
    </font>
    <font>
      <strike/>
      <sz val="9"/>
      <color theme="1"/>
      <name val="Arial"/>
      <family val="2"/>
      <charset val="238"/>
    </font>
    <font>
      <b/>
      <strike/>
      <sz val="9"/>
      <color theme="0" tint="-0.499984740745262"/>
      <name val="Arial"/>
      <family val="2"/>
      <charset val="238"/>
    </font>
    <font>
      <strike/>
      <sz val="9"/>
      <color theme="0"/>
      <name val="Arial"/>
      <family val="2"/>
      <charset val="238"/>
    </font>
    <font>
      <strike/>
      <sz val="9"/>
      <name val="Arial"/>
      <family val="2"/>
      <charset val="238"/>
    </font>
    <font>
      <b/>
      <strike/>
      <sz val="10"/>
      <color theme="1"/>
      <name val="Arial"/>
      <family val="2"/>
    </font>
    <font>
      <strike/>
      <sz val="9"/>
      <color rgb="FFFF0000"/>
      <name val="Arial"/>
      <family val="2"/>
      <charset val="238"/>
    </font>
    <font>
      <strike/>
      <sz val="9"/>
      <color theme="2" tint="-0.249977111117893"/>
      <name val="Arial"/>
      <family val="2"/>
      <charset val="238"/>
    </font>
    <font>
      <strike/>
      <sz val="9"/>
      <color theme="5" tint="-0.249977111117893"/>
      <name val="Arial"/>
      <family val="2"/>
      <charset val="238"/>
    </font>
    <font>
      <strike/>
      <sz val="10"/>
      <color theme="1"/>
      <name val="Arial"/>
      <family val="2"/>
      <charset val="238"/>
    </font>
    <font>
      <strike/>
      <sz val="9"/>
      <color theme="4" tint="-0.499984740745262"/>
      <name val="Arial"/>
      <family val="2"/>
      <charset val="238"/>
    </font>
    <font>
      <strike/>
      <sz val="11"/>
      <color theme="4" tint="-0.249977111117893"/>
      <name val="Calibri"/>
      <family val="2"/>
      <charset val="238"/>
      <scheme val="minor"/>
    </font>
    <font>
      <strike/>
      <sz val="11"/>
      <color rgb="FF00000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b/>
      <strike/>
      <sz val="9"/>
      <color theme="1"/>
      <name val="Arial"/>
      <family val="2"/>
      <charset val="238"/>
    </font>
    <font>
      <strike/>
      <sz val="10"/>
      <color rgb="FF000000"/>
      <name val="Arial"/>
      <family val="2"/>
      <charset val="238"/>
    </font>
    <font>
      <b/>
      <strike/>
      <sz val="9"/>
      <color theme="0"/>
      <name val="Arial"/>
      <family val="2"/>
      <charset val="238"/>
    </font>
    <font>
      <b/>
      <strike/>
      <sz val="9"/>
      <color theme="5" tint="-0.249977111117893"/>
      <name val="Arial"/>
      <family val="2"/>
      <charset val="238"/>
    </font>
    <font>
      <strike/>
      <sz val="1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7"/>
      <name val="Arial"/>
      <family val="2"/>
    </font>
    <font>
      <sz val="10"/>
      <name val="Arial Narrow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7" tint="0.39997558519241921"/>
        <bgColor indexed="64"/>
      </patternFill>
    </fill>
  </fills>
  <borders count="217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/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/>
      <right style="thin">
        <color rgb="FFB2B2B2"/>
      </right>
      <top style="medium">
        <color indexed="64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/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/>
      <right style="medium">
        <color indexed="64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 style="thin">
        <color rgb="FF7F7F7F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theme="2" tint="-0.249977111117893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theme="2" tint="-0.249977111117893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theme="2" tint="-0.249977111117893"/>
      </right>
      <top style="medium">
        <color indexed="64"/>
      </top>
      <bottom style="thin">
        <color rgb="FFB2B2B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 style="thin">
        <color theme="2" tint="-0.249977111117893"/>
      </right>
      <top style="thin">
        <color theme="2" tint="-0.249977111117893"/>
      </top>
      <bottom style="medium">
        <color auto="1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medium">
        <color auto="1"/>
      </bottom>
      <diagonal/>
    </border>
    <border>
      <left style="thin">
        <color theme="2" tint="-0.249977111117893"/>
      </left>
      <right style="medium">
        <color auto="1"/>
      </right>
      <top style="thin">
        <color theme="2" tint="-0.249977111117893"/>
      </top>
      <bottom style="medium">
        <color auto="1"/>
      </bottom>
      <diagonal/>
    </border>
    <border>
      <left style="thin">
        <color theme="2" tint="-0.249977111117893"/>
      </left>
      <right style="medium">
        <color auto="1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theme="2" tint="-0.249977111117893"/>
      </right>
      <top/>
      <bottom style="thin">
        <color rgb="FFB2B2B2"/>
      </bottom>
      <diagonal/>
    </border>
    <border>
      <left/>
      <right style="medium">
        <color indexed="64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theme="2" tint="-0.249977111117893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auto="1"/>
      </right>
      <top/>
      <bottom style="thin">
        <color theme="2" tint="-0.249977111117893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thin">
        <color theme="2" tint="-0.249977111117893"/>
      </bottom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auto="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 style="thin">
        <color theme="2" tint="-0.24994659260841701"/>
      </left>
      <right style="medium">
        <color auto="1"/>
      </right>
      <top style="thin">
        <color theme="2" tint="-0.2499465926084170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B2B2B2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theme="2" tint="-0.249977111117893"/>
      </top>
      <bottom style="medium">
        <color auto="1"/>
      </bottom>
      <diagonal/>
    </border>
    <border>
      <left style="medium">
        <color indexed="64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auto="1"/>
      </right>
      <top/>
      <bottom style="thin">
        <color theme="2" tint="-0.24994659260841701"/>
      </bottom>
      <diagonal/>
    </border>
    <border>
      <left style="medium">
        <color indexed="64"/>
      </left>
      <right style="medium">
        <color indexed="64"/>
      </right>
      <top/>
      <bottom style="thin">
        <color rgb="FFB2B2B2"/>
      </bottom>
      <diagonal/>
    </border>
    <border>
      <left style="thin">
        <color theme="2" tint="-0.249977111117893"/>
      </left>
      <right style="medium">
        <color indexed="64"/>
      </right>
      <top/>
      <bottom/>
      <diagonal/>
    </border>
    <border>
      <left style="thin">
        <color theme="2" tint="-0.249977111117893"/>
      </left>
      <right style="medium">
        <color auto="1"/>
      </right>
      <top style="thin">
        <color theme="2" tint="-0.249977111117893"/>
      </top>
      <bottom/>
      <diagonal/>
    </border>
    <border>
      <left style="medium">
        <color indexed="64"/>
      </left>
      <right style="thin">
        <color theme="2" tint="-0.24994659260841701"/>
      </right>
      <top style="medium">
        <color auto="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auto="1"/>
      </top>
      <bottom/>
      <diagonal/>
    </border>
    <border>
      <left style="thin">
        <color theme="2" tint="-0.2499465926084170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medium">
        <color indexed="64"/>
      </left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 style="medium">
        <color auto="1"/>
      </right>
      <top/>
      <bottom/>
      <diagonal/>
    </border>
    <border>
      <left style="medium">
        <color auto="1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medium">
        <color auto="1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medium">
        <color auto="1"/>
      </right>
      <top style="thin">
        <color theme="2" tint="-0.24994659260841701"/>
      </top>
      <bottom/>
      <diagonal/>
    </border>
    <border>
      <left style="medium">
        <color indexed="64"/>
      </left>
      <right style="medium">
        <color indexed="64"/>
      </right>
      <top style="thin">
        <color rgb="FFB2B2B2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</borders>
  <cellStyleXfs count="23">
    <xf numFmtId="0" fontId="0" fillId="0" borderId="0"/>
    <xf numFmtId="0" fontId="9" fillId="3" borderId="0" applyNumberFormat="0" applyBorder="0" applyAlignment="0" applyProtection="0"/>
    <xf numFmtId="0" fontId="10" fillId="4" borderId="16" applyNumberFormat="0" applyAlignment="0" applyProtection="0"/>
    <xf numFmtId="0" fontId="5" fillId="5" borderId="17" applyNumberFormat="0" applyFont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3" fillId="0" borderId="0"/>
    <xf numFmtId="0" fontId="78" fillId="27" borderId="0" applyNumberFormat="0" applyBorder="0" applyAlignment="0" applyProtection="0"/>
    <xf numFmtId="0" fontId="13" fillId="0" borderId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82" fillId="0" borderId="215" applyNumberFormat="0" applyFill="0" applyAlignment="0" applyProtection="0"/>
    <xf numFmtId="0" fontId="78" fillId="27" borderId="0" applyNumberFormat="0" applyBorder="0" applyAlignment="0" applyProtection="0"/>
    <xf numFmtId="0" fontId="114" fillId="0" borderId="216" applyNumberFormat="0" applyFill="0" applyAlignment="0" applyProtection="0"/>
  </cellStyleXfs>
  <cellXfs count="1385">
    <xf numFmtId="0" fontId="0" fillId="0" borderId="0" xfId="0"/>
    <xf numFmtId="0" fontId="6" fillId="2" borderId="1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justify" vertical="top" wrapText="1"/>
    </xf>
    <xf numFmtId="0" fontId="6" fillId="2" borderId="3" xfId="0" applyFont="1" applyFill="1" applyBorder="1" applyAlignment="1">
      <alignment horizontal="justify" vertical="top" wrapText="1"/>
    </xf>
    <xf numFmtId="0" fontId="7" fillId="0" borderId="0" xfId="0" applyFont="1" applyAlignment="1">
      <alignment vertical="top"/>
    </xf>
    <xf numFmtId="0" fontId="6" fillId="2" borderId="10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6" borderId="0" xfId="0" applyFill="1" applyAlignment="1">
      <alignment horizontal="left" vertical="top" wrapText="1"/>
    </xf>
    <xf numFmtId="0" fontId="7" fillId="6" borderId="14" xfId="0" applyFont="1" applyFill="1" applyBorder="1" applyAlignment="1">
      <alignment horizontal="left" vertical="top" wrapText="1"/>
    </xf>
    <xf numFmtId="0" fontId="7" fillId="6" borderId="24" xfId="0" applyFont="1" applyFill="1" applyBorder="1" applyAlignment="1">
      <alignment horizontal="left" vertical="top" wrapText="1"/>
    </xf>
    <xf numFmtId="0" fontId="12" fillId="6" borderId="15" xfId="0" applyFont="1" applyFill="1" applyBorder="1" applyAlignment="1">
      <alignment horizontal="left" vertical="top" wrapText="1"/>
    </xf>
    <xf numFmtId="0" fontId="13" fillId="6" borderId="31" xfId="0" applyFont="1" applyFill="1" applyBorder="1" applyAlignment="1">
      <alignment horizontal="left" vertical="top" wrapText="1"/>
    </xf>
    <xf numFmtId="0" fontId="0" fillId="6" borderId="32" xfId="0" applyFill="1" applyBorder="1" applyAlignment="1">
      <alignment horizontal="left" vertical="top" wrapText="1"/>
    </xf>
    <xf numFmtId="0" fontId="0" fillId="7" borderId="15" xfId="0" applyFill="1" applyBorder="1" applyAlignment="1">
      <alignment vertical="top" wrapText="1"/>
    </xf>
    <xf numFmtId="0" fontId="0" fillId="7" borderId="26" xfId="0" applyFill="1" applyBorder="1" applyAlignment="1">
      <alignment vertical="top" wrapText="1"/>
    </xf>
    <xf numFmtId="0" fontId="14" fillId="7" borderId="5" xfId="0" applyFont="1" applyFill="1" applyBorder="1" applyAlignment="1">
      <alignment vertical="top" wrapText="1"/>
    </xf>
    <xf numFmtId="0" fontId="12" fillId="7" borderId="0" xfId="0" applyFont="1" applyFill="1" applyAlignment="1">
      <alignment horizontal="center" vertical="top" wrapText="1"/>
    </xf>
    <xf numFmtId="0" fontId="0" fillId="6" borderId="18" xfId="0" applyFill="1" applyBorder="1" applyAlignment="1">
      <alignment horizontal="left" vertical="top" wrapText="1"/>
    </xf>
    <xf numFmtId="0" fontId="12" fillId="7" borderId="0" xfId="0" applyFont="1" applyFill="1" applyAlignment="1">
      <alignment horizontal="left" vertical="top" wrapText="1"/>
    </xf>
    <xf numFmtId="0" fontId="0" fillId="7" borderId="0" xfId="0" applyFill="1" applyAlignment="1">
      <alignment vertical="top" wrapText="1"/>
    </xf>
    <xf numFmtId="0" fontId="0" fillId="7" borderId="25" xfId="0" applyFill="1" applyBorder="1" applyAlignment="1">
      <alignment vertical="top" wrapText="1"/>
    </xf>
    <xf numFmtId="0" fontId="14" fillId="7" borderId="27" xfId="0" applyFont="1" applyFill="1" applyBorder="1" applyAlignment="1">
      <alignment vertical="top" wrapText="1"/>
    </xf>
    <xf numFmtId="0" fontId="0" fillId="7" borderId="24" xfId="0" applyFill="1" applyBorder="1" applyAlignment="1">
      <alignment vertical="top" wrapText="1"/>
    </xf>
    <xf numFmtId="0" fontId="14" fillId="7" borderId="6" xfId="0" applyFont="1" applyFill="1" applyBorder="1" applyAlignment="1">
      <alignment vertical="top" wrapText="1"/>
    </xf>
    <xf numFmtId="0" fontId="0" fillId="0" borderId="6" xfId="0" applyBorder="1" applyAlignment="1">
      <alignment horizontal="left" vertical="top" wrapText="1"/>
    </xf>
    <xf numFmtId="4" fontId="10" fillId="4" borderId="16" xfId="2" applyNumberFormat="1" applyAlignment="1">
      <alignment horizontal="right" vertical="top" wrapText="1"/>
    </xf>
    <xf numFmtId="4" fontId="10" fillId="4" borderId="36" xfId="2" applyNumberFormat="1" applyBorder="1" applyAlignment="1">
      <alignment horizontal="right" vertical="top" wrapText="1"/>
    </xf>
    <xf numFmtId="0" fontId="12" fillId="7" borderId="6" xfId="0" applyFont="1" applyFill="1" applyBorder="1" applyAlignment="1">
      <alignment horizontal="left" vertical="top" wrapText="1"/>
    </xf>
    <xf numFmtId="4" fontId="10" fillId="4" borderId="37" xfId="2" applyNumberFormat="1" applyBorder="1" applyAlignment="1">
      <alignment horizontal="right" vertical="top" wrapText="1"/>
    </xf>
    <xf numFmtId="4" fontId="9" fillId="3" borderId="0" xfId="1" applyNumberFormat="1" applyAlignment="1">
      <alignment horizontal="right" vertical="top" wrapText="1"/>
    </xf>
    <xf numFmtId="0" fontId="10" fillId="4" borderId="16" xfId="2" applyAlignment="1">
      <alignment horizontal="left" vertical="top"/>
    </xf>
    <xf numFmtId="0" fontId="0" fillId="0" borderId="39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4" fontId="10" fillId="4" borderId="42" xfId="2" applyNumberFormat="1" applyBorder="1" applyAlignment="1">
      <alignment horizontal="right" vertical="top" wrapText="1"/>
    </xf>
    <xf numFmtId="4" fontId="10" fillId="4" borderId="45" xfId="2" applyNumberFormat="1" applyBorder="1" applyAlignment="1">
      <alignment horizontal="right" vertical="top" wrapText="1"/>
    </xf>
    <xf numFmtId="0" fontId="18" fillId="0" borderId="0" xfId="0" applyFont="1"/>
    <xf numFmtId="0" fontId="0" fillId="6" borderId="33" xfId="0" applyFill="1" applyBorder="1" applyAlignment="1">
      <alignment horizontal="left" vertical="top" wrapText="1"/>
    </xf>
    <xf numFmtId="0" fontId="0" fillId="6" borderId="6" xfId="0" applyFill="1" applyBorder="1" applyAlignment="1">
      <alignment horizontal="left" vertical="top" wrapText="1"/>
    </xf>
    <xf numFmtId="0" fontId="0" fillId="0" borderId="70" xfId="0" applyBorder="1" applyAlignment="1">
      <alignment horizontal="left" vertical="top" wrapText="1"/>
    </xf>
    <xf numFmtId="0" fontId="12" fillId="7" borderId="69" xfId="0" applyFont="1" applyFill="1" applyBorder="1" applyAlignment="1">
      <alignment horizontal="left" vertical="top" wrapText="1"/>
    </xf>
    <xf numFmtId="0" fontId="0" fillId="7" borderId="29" xfId="0" applyFill="1" applyBorder="1" applyAlignment="1">
      <alignment vertical="top" wrapText="1"/>
    </xf>
    <xf numFmtId="0" fontId="14" fillId="7" borderId="30" xfId="0" applyFont="1" applyFill="1" applyBorder="1" applyAlignment="1">
      <alignment vertical="top" wrapText="1"/>
    </xf>
    <xf numFmtId="4" fontId="10" fillId="4" borderId="71" xfId="2" applyNumberFormat="1" applyBorder="1" applyAlignment="1">
      <alignment horizontal="right" vertical="top" wrapText="1"/>
    </xf>
    <xf numFmtId="4" fontId="10" fillId="4" borderId="72" xfId="2" applyNumberFormat="1" applyBorder="1" applyAlignment="1">
      <alignment horizontal="right" vertical="top" wrapText="1"/>
    </xf>
    <xf numFmtId="4" fontId="10" fillId="4" borderId="73" xfId="2" applyNumberFormat="1" applyBorder="1" applyAlignment="1">
      <alignment horizontal="right" vertical="top" wrapText="1"/>
    </xf>
    <xf numFmtId="4" fontId="10" fillId="4" borderId="74" xfId="2" applyNumberFormat="1" applyBorder="1" applyAlignment="1">
      <alignment horizontal="right" vertical="top" wrapText="1"/>
    </xf>
    <xf numFmtId="4" fontId="10" fillId="4" borderId="76" xfId="2" applyNumberFormat="1" applyBorder="1" applyAlignment="1">
      <alignment horizontal="right" vertical="top" wrapText="1"/>
    </xf>
    <xf numFmtId="0" fontId="0" fillId="0" borderId="75" xfId="0" applyBorder="1" applyAlignment="1">
      <alignment horizontal="left" vertical="top" wrapText="1"/>
    </xf>
    <xf numFmtId="0" fontId="13" fillId="6" borderId="35" xfId="0" applyFont="1" applyFill="1" applyBorder="1" applyAlignment="1">
      <alignment horizontal="left" vertical="top" wrapText="1"/>
    </xf>
    <xf numFmtId="0" fontId="0" fillId="6" borderId="27" xfId="0" applyFill="1" applyBorder="1" applyAlignment="1">
      <alignment horizontal="left" vertical="top" wrapText="1"/>
    </xf>
    <xf numFmtId="4" fontId="10" fillId="4" borderId="77" xfId="2" applyNumberFormat="1" applyBorder="1" applyAlignment="1">
      <alignment horizontal="right" vertical="top" wrapText="1"/>
    </xf>
    <xf numFmtId="4" fontId="10" fillId="4" borderId="78" xfId="2" applyNumberFormat="1" applyBorder="1" applyAlignment="1">
      <alignment horizontal="right" vertical="top" wrapText="1"/>
    </xf>
    <xf numFmtId="4" fontId="10" fillId="4" borderId="79" xfId="2" applyNumberFormat="1" applyBorder="1" applyAlignment="1">
      <alignment horizontal="right" vertical="top" wrapText="1"/>
    </xf>
    <xf numFmtId="0" fontId="0" fillId="6" borderId="8" xfId="0" applyFill="1" applyBorder="1" applyAlignment="1">
      <alignment horizontal="left" vertical="top" wrapText="1"/>
    </xf>
    <xf numFmtId="0" fontId="0" fillId="6" borderId="9" xfId="0" applyFill="1" applyBorder="1" applyAlignment="1">
      <alignment horizontal="left" vertical="top" wrapText="1"/>
    </xf>
    <xf numFmtId="0" fontId="9" fillId="3" borderId="80" xfId="1" applyBorder="1" applyAlignment="1">
      <alignment horizontal="right" vertical="top" wrapText="1"/>
    </xf>
    <xf numFmtId="4" fontId="10" fillId="4" borderId="36" xfId="2" applyNumberFormat="1" applyBorder="1" applyAlignment="1">
      <alignment horizontal="left" vertical="top" wrapText="1"/>
    </xf>
    <xf numFmtId="4" fontId="10" fillId="4" borderId="81" xfId="2" applyNumberFormat="1" applyBorder="1" applyAlignment="1">
      <alignment horizontal="right" vertical="top" wrapText="1"/>
    </xf>
    <xf numFmtId="4" fontId="10" fillId="4" borderId="82" xfId="2" applyNumberFormat="1" applyBorder="1" applyAlignment="1">
      <alignment horizontal="right" vertical="top" wrapText="1"/>
    </xf>
    <xf numFmtId="4" fontId="10" fillId="4" borderId="83" xfId="2" applyNumberFormat="1" applyBorder="1" applyAlignment="1">
      <alignment horizontal="right" vertical="top"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3" fontId="10" fillId="4" borderId="14" xfId="2" applyNumberFormat="1" applyBorder="1" applyAlignment="1">
      <alignment horizontal="right" vertical="top" wrapText="1"/>
    </xf>
    <xf numFmtId="3" fontId="10" fillId="4" borderId="24" xfId="2" applyNumberFormat="1" applyBorder="1" applyAlignment="1">
      <alignment horizontal="right" vertical="top" wrapText="1"/>
    </xf>
    <xf numFmtId="3" fontId="10" fillId="4" borderId="15" xfId="2" applyNumberFormat="1" applyBorder="1" applyAlignment="1">
      <alignment horizontal="right" vertical="top" wrapText="1"/>
    </xf>
    <xf numFmtId="0" fontId="0" fillId="0" borderId="8" xfId="0" applyBorder="1" applyAlignment="1">
      <alignment horizontal="left" vertical="top" wrapText="1"/>
    </xf>
    <xf numFmtId="0" fontId="0" fillId="0" borderId="8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2" fillId="6" borderId="22" xfId="0" applyFont="1" applyFill="1" applyBorder="1" applyAlignment="1">
      <alignment horizontal="center" vertical="top" wrapText="1"/>
    </xf>
    <xf numFmtId="3" fontId="10" fillId="4" borderId="14" xfId="2" applyNumberFormat="1" applyBorder="1" applyAlignment="1">
      <alignment vertical="top" wrapText="1"/>
    </xf>
    <xf numFmtId="3" fontId="10" fillId="4" borderId="24" xfId="2" applyNumberFormat="1" applyBorder="1" applyAlignment="1">
      <alignment vertical="top" wrapText="1"/>
    </xf>
    <xf numFmtId="3" fontId="10" fillId="4" borderId="15" xfId="2" applyNumberFormat="1" applyBorder="1" applyAlignment="1">
      <alignment vertical="top" wrapText="1"/>
    </xf>
    <xf numFmtId="0" fontId="12" fillId="10" borderId="6" xfId="0" applyFont="1" applyFill="1" applyBorder="1" applyAlignment="1">
      <alignment horizontal="left" vertical="top" wrapText="1"/>
    </xf>
    <xf numFmtId="0" fontId="12" fillId="7" borderId="30" xfId="0" applyFont="1" applyFill="1" applyBorder="1" applyAlignment="1">
      <alignment horizontal="left" vertical="top" wrapText="1"/>
    </xf>
    <xf numFmtId="0" fontId="12" fillId="11" borderId="6" xfId="0" applyFont="1" applyFill="1" applyBorder="1" applyAlignment="1">
      <alignment horizontal="left" vertical="top" wrapText="1"/>
    </xf>
    <xf numFmtId="3" fontId="10" fillId="4" borderId="72" xfId="2" applyNumberFormat="1" applyBorder="1" applyAlignment="1">
      <alignment horizontal="right" vertical="top" wrapText="1"/>
    </xf>
    <xf numFmtId="0" fontId="12" fillId="10" borderId="30" xfId="0" applyFont="1" applyFill="1" applyBorder="1" applyAlignment="1">
      <alignment horizontal="left" vertical="top" wrapText="1"/>
    </xf>
    <xf numFmtId="0" fontId="12" fillId="11" borderId="30" xfId="0" applyFont="1" applyFill="1" applyBorder="1" applyAlignment="1">
      <alignment horizontal="left" vertical="top" wrapText="1"/>
    </xf>
    <xf numFmtId="0" fontId="32" fillId="0" borderId="0" xfId="0" applyFont="1" applyAlignment="1">
      <alignment horizontal="center"/>
    </xf>
    <xf numFmtId="0" fontId="33" fillId="0" borderId="0" xfId="0" applyFont="1"/>
    <xf numFmtId="49" fontId="33" fillId="0" borderId="0" xfId="0" applyNumberFormat="1" applyFont="1"/>
    <xf numFmtId="3" fontId="10" fillId="4" borderId="73" xfId="2" applyNumberFormat="1" applyBorder="1"/>
    <xf numFmtId="0" fontId="3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2" fillId="0" borderId="0" xfId="0" applyFont="1"/>
    <xf numFmtId="0" fontId="32" fillId="0" borderId="0" xfId="0" applyFont="1" applyAlignment="1">
      <alignment wrapText="1"/>
    </xf>
    <xf numFmtId="0" fontId="31" fillId="0" borderId="0" xfId="0" applyFont="1"/>
    <xf numFmtId="0" fontId="12" fillId="7" borderId="69" xfId="0" applyFont="1" applyFill="1" applyBorder="1" applyAlignment="1">
      <alignment horizontal="center" vertical="top" wrapText="1"/>
    </xf>
    <xf numFmtId="3" fontId="10" fillId="4" borderId="36" xfId="2" applyNumberFormat="1" applyBorder="1"/>
    <xf numFmtId="3" fontId="10" fillId="4" borderId="88" xfId="2" applyNumberFormat="1" applyBorder="1"/>
    <xf numFmtId="0" fontId="0" fillId="6" borderId="89" xfId="0" applyFill="1" applyBorder="1" applyAlignment="1">
      <alignment horizontal="center" vertical="top" wrapText="1"/>
    </xf>
    <xf numFmtId="3" fontId="10" fillId="4" borderId="82" xfId="2" applyNumberFormat="1" applyBorder="1" applyAlignment="1">
      <alignment horizontal="right"/>
    </xf>
    <xf numFmtId="3" fontId="10" fillId="4" borderId="83" xfId="2" applyNumberFormat="1" applyBorder="1" applyAlignment="1">
      <alignment horizontal="right"/>
    </xf>
    <xf numFmtId="3" fontId="10" fillId="4" borderId="69" xfId="2" applyNumberFormat="1" applyBorder="1"/>
    <xf numFmtId="3" fontId="10" fillId="4" borderId="30" xfId="2" applyNumberFormat="1" applyBorder="1"/>
    <xf numFmtId="3" fontId="10" fillId="4" borderId="90" xfId="2" applyNumberFormat="1" applyBorder="1"/>
    <xf numFmtId="0" fontId="30" fillId="0" borderId="14" xfId="0" applyFont="1" applyBorder="1"/>
    <xf numFmtId="0" fontId="30" fillId="0" borderId="23" xfId="0" applyFont="1" applyBorder="1"/>
    <xf numFmtId="0" fontId="32" fillId="0" borderId="24" xfId="0" applyFont="1" applyBorder="1"/>
    <xf numFmtId="0" fontId="11" fillId="0" borderId="0" xfId="0" applyFont="1"/>
    <xf numFmtId="0" fontId="6" fillId="5" borderId="30" xfId="3" applyFont="1" applyBorder="1" applyAlignment="1">
      <alignment vertical="top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6" borderId="87" xfId="0" applyFill="1" applyBorder="1" applyAlignment="1">
      <alignment horizontal="center" vertical="top" wrapText="1"/>
    </xf>
    <xf numFmtId="0" fontId="0" fillId="6" borderId="60" xfId="0" applyFill="1" applyBorder="1" applyAlignment="1">
      <alignment horizontal="center" vertical="top" wrapText="1"/>
    </xf>
    <xf numFmtId="0" fontId="0" fillId="6" borderId="61" xfId="0" applyFill="1" applyBorder="1" applyAlignment="1">
      <alignment horizontal="center" vertical="top" wrapText="1"/>
    </xf>
    <xf numFmtId="3" fontId="10" fillId="4" borderId="93" xfId="2" applyNumberFormat="1" applyBorder="1"/>
    <xf numFmtId="3" fontId="10" fillId="4" borderId="78" xfId="2" applyNumberFormat="1" applyBorder="1"/>
    <xf numFmtId="3" fontId="10" fillId="4" borderId="43" xfId="2" applyNumberFormat="1" applyBorder="1"/>
    <xf numFmtId="3" fontId="10" fillId="4" borderId="46" xfId="2" applyNumberFormat="1" applyBorder="1"/>
    <xf numFmtId="3" fontId="10" fillId="4" borderId="94" xfId="2" applyNumberFormat="1" applyBorder="1"/>
    <xf numFmtId="3" fontId="10" fillId="4" borderId="95" xfId="2" applyNumberFormat="1" applyBorder="1" applyAlignment="1">
      <alignment horizontal="right" vertical="top" wrapText="1"/>
    </xf>
    <xf numFmtId="3" fontId="10" fillId="4" borderId="47" xfId="2" applyNumberFormat="1" applyBorder="1" applyAlignment="1">
      <alignment vertical="top" wrapText="1"/>
    </xf>
    <xf numFmtId="3" fontId="10" fillId="4" borderId="96" xfId="2" applyNumberFormat="1" applyBorder="1" applyAlignment="1">
      <alignment vertical="top" wrapText="1"/>
    </xf>
    <xf numFmtId="0" fontId="37" fillId="0" borderId="0" xfId="0" applyFont="1"/>
    <xf numFmtId="0" fontId="37" fillId="0" borderId="0" xfId="0" applyFont="1" applyAlignment="1">
      <alignment horizontal="right"/>
    </xf>
    <xf numFmtId="0" fontId="38" fillId="12" borderId="80" xfId="0" applyFont="1" applyFill="1" applyBorder="1" applyAlignment="1">
      <alignment vertical="top"/>
    </xf>
    <xf numFmtId="0" fontId="38" fillId="12" borderId="0" xfId="0" applyFont="1" applyFill="1" applyAlignment="1">
      <alignment vertical="top"/>
    </xf>
    <xf numFmtId="0" fontId="38" fillId="12" borderId="24" xfId="0" applyFont="1" applyFill="1" applyBorder="1" applyAlignment="1">
      <alignment vertical="top"/>
    </xf>
    <xf numFmtId="0" fontId="38" fillId="12" borderId="6" xfId="0" applyFont="1" applyFill="1" applyBorder="1" applyAlignment="1">
      <alignment vertical="top"/>
    </xf>
    <xf numFmtId="0" fontId="41" fillId="14" borderId="29" xfId="0" applyFont="1" applyFill="1" applyBorder="1"/>
    <xf numFmtId="0" fontId="42" fillId="0" borderId="0" xfId="0" applyFont="1"/>
    <xf numFmtId="4" fontId="10" fillId="4" borderId="50" xfId="2" applyNumberFormat="1" applyBorder="1" applyAlignment="1">
      <alignment horizontal="right" vertical="top" wrapText="1"/>
    </xf>
    <xf numFmtId="4" fontId="0" fillId="0" borderId="0" xfId="0" applyNumberFormat="1" applyAlignment="1">
      <alignment horizontal="left" vertical="top" wrapText="1"/>
    </xf>
    <xf numFmtId="0" fontId="5" fillId="6" borderId="58" xfId="0" applyFont="1" applyFill="1" applyBorder="1" applyAlignment="1">
      <alignment horizontal="center" vertical="top" wrapText="1"/>
    </xf>
    <xf numFmtId="0" fontId="5" fillId="6" borderId="87" xfId="0" applyFont="1" applyFill="1" applyBorder="1" applyAlignment="1">
      <alignment horizontal="center" vertical="top" wrapText="1"/>
    </xf>
    <xf numFmtId="0" fontId="5" fillId="6" borderId="60" xfId="0" applyFont="1" applyFill="1" applyBorder="1" applyAlignment="1">
      <alignment horizontal="center" vertical="top" wrapText="1"/>
    </xf>
    <xf numFmtId="0" fontId="5" fillId="6" borderId="61" xfId="0" applyFont="1" applyFill="1" applyBorder="1" applyAlignment="1">
      <alignment horizontal="center" vertical="top" wrapText="1"/>
    </xf>
    <xf numFmtId="0" fontId="5" fillId="0" borderId="38" xfId="0" applyFont="1" applyBorder="1" applyAlignment="1">
      <alignment horizontal="left"/>
    </xf>
    <xf numFmtId="3" fontId="10" fillId="4" borderId="102" xfId="2" applyNumberFormat="1" applyBorder="1"/>
    <xf numFmtId="3" fontId="10" fillId="4" borderId="16" xfId="2" applyNumberFormat="1"/>
    <xf numFmtId="4" fontId="10" fillId="4" borderId="103" xfId="2" applyNumberFormat="1" applyBorder="1" applyAlignment="1">
      <alignment horizontal="right" vertical="top" wrapText="1"/>
    </xf>
    <xf numFmtId="4" fontId="10" fillId="0" borderId="0" xfId="2" applyNumberFormat="1" applyFill="1" applyBorder="1" applyAlignment="1">
      <alignment horizontal="right" vertical="top" wrapText="1"/>
    </xf>
    <xf numFmtId="4" fontId="0" fillId="0" borderId="0" xfId="0" applyNumberFormat="1"/>
    <xf numFmtId="4" fontId="10" fillId="4" borderId="105" xfId="2" applyNumberFormat="1" applyBorder="1" applyAlignment="1">
      <alignment horizontal="right" vertical="top" wrapText="1"/>
    </xf>
    <xf numFmtId="0" fontId="11" fillId="0" borderId="89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6" xfId="0" applyBorder="1"/>
    <xf numFmtId="0" fontId="0" fillId="0" borderId="5" xfId="0" applyBorder="1"/>
    <xf numFmtId="0" fontId="0" fillId="0" borderId="65" xfId="0" applyBorder="1" applyAlignment="1">
      <alignment horizontal="center" vertical="center"/>
    </xf>
    <xf numFmtId="0" fontId="0" fillId="0" borderId="13" xfId="0" applyBorder="1"/>
    <xf numFmtId="4" fontId="10" fillId="4" borderId="118" xfId="2" applyNumberFormat="1" applyBorder="1" applyAlignment="1">
      <alignment horizontal="right" vertical="top" wrapText="1"/>
    </xf>
    <xf numFmtId="4" fontId="10" fillId="4" borderId="117" xfId="2" applyNumberFormat="1" applyBorder="1" applyAlignment="1">
      <alignment horizontal="right" vertical="top" wrapText="1"/>
    </xf>
    <xf numFmtId="2" fontId="37" fillId="0" borderId="0" xfId="0" applyNumberFormat="1" applyFo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2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4" fontId="46" fillId="4" borderId="118" xfId="2" applyNumberFormat="1" applyFont="1" applyBorder="1" applyAlignment="1">
      <alignment horizontal="left" vertical="center" wrapText="1"/>
    </xf>
    <xf numFmtId="4" fontId="10" fillId="15" borderId="117" xfId="2" applyNumberFormat="1" applyFill="1" applyBorder="1" applyAlignment="1">
      <alignment horizontal="right" vertical="center" wrapText="1"/>
    </xf>
    <xf numFmtId="166" fontId="45" fillId="15" borderId="117" xfId="4" applyNumberFormat="1" applyFont="1" applyFill="1" applyBorder="1" applyAlignment="1">
      <alignment horizontal="right" vertical="center" wrapText="1"/>
    </xf>
    <xf numFmtId="3" fontId="45" fillId="15" borderId="117" xfId="4" applyNumberFormat="1" applyFont="1" applyFill="1" applyBorder="1" applyAlignment="1">
      <alignment horizontal="right" vertical="center" wrapText="1"/>
    </xf>
    <xf numFmtId="0" fontId="47" fillId="0" borderId="0" xfId="0" applyFont="1" applyAlignment="1">
      <alignment horizontal="right" vertical="center"/>
    </xf>
    <xf numFmtId="4" fontId="48" fillId="9" borderId="117" xfId="2" applyNumberFormat="1" applyFont="1" applyFill="1" applyBorder="1" applyAlignment="1">
      <alignment horizontal="right" vertical="center" wrapText="1"/>
    </xf>
    <xf numFmtId="166" fontId="49" fillId="9" borderId="117" xfId="4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vertical="center"/>
    </xf>
    <xf numFmtId="3" fontId="49" fillId="9" borderId="117" xfId="4" applyNumberFormat="1" applyFont="1" applyFill="1" applyBorder="1" applyAlignment="1">
      <alignment horizontal="right" vertical="center" wrapText="1"/>
    </xf>
    <xf numFmtId="2" fontId="6" fillId="17" borderId="80" xfId="1" applyNumberFormat="1" applyFont="1" applyFill="1" applyBorder="1" applyAlignment="1">
      <alignment vertical="top" wrapText="1"/>
    </xf>
    <xf numFmtId="1" fontId="51" fillId="3" borderId="5" xfId="1" applyNumberFormat="1" applyFont="1" applyBorder="1" applyAlignment="1">
      <alignment horizontal="right" vertical="top" wrapText="1"/>
    </xf>
    <xf numFmtId="0" fontId="34" fillId="0" borderId="0" xfId="0" applyFont="1"/>
    <xf numFmtId="0" fontId="12" fillId="0" borderId="0" xfId="0" applyFont="1" applyAlignment="1">
      <alignment horizontal="center" vertical="top" wrapText="1"/>
    </xf>
    <xf numFmtId="3" fontId="10" fillId="0" borderId="0" xfId="2" applyNumberFormat="1" applyFill="1" applyBorder="1"/>
    <xf numFmtId="0" fontId="11" fillId="0" borderId="61" xfId="0" applyFont="1" applyBorder="1"/>
    <xf numFmtId="0" fontId="11" fillId="0" borderId="120" xfId="0" applyFont="1" applyBorder="1"/>
    <xf numFmtId="0" fontId="0" fillId="0" borderId="121" xfId="0" applyBorder="1" applyAlignment="1">
      <alignment horizontal="left"/>
    </xf>
    <xf numFmtId="0" fontId="12" fillId="7" borderId="30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right"/>
    </xf>
    <xf numFmtId="0" fontId="34" fillId="0" borderId="6" xfId="0" applyFont="1" applyBorder="1"/>
    <xf numFmtId="0" fontId="36" fillId="0" borderId="24" xfId="0" applyFont="1" applyBorder="1"/>
    <xf numFmtId="9" fontId="0" fillId="0" borderId="19" xfId="4" applyFont="1" applyBorder="1" applyAlignment="1">
      <alignment wrapText="1"/>
    </xf>
    <xf numFmtId="4" fontId="0" fillId="0" borderId="20" xfId="0" applyNumberFormat="1" applyBorder="1" applyAlignment="1">
      <alignment wrapText="1"/>
    </xf>
    <xf numFmtId="9" fontId="0" fillId="0" borderId="0" xfId="4" applyFont="1"/>
    <xf numFmtId="4" fontId="0" fillId="0" borderId="20" xfId="0" applyNumberFormat="1" applyBorder="1"/>
    <xf numFmtId="9" fontId="0" fillId="0" borderId="0" xfId="4" applyFont="1" applyAlignment="1">
      <alignment wrapText="1"/>
    </xf>
    <xf numFmtId="2" fontId="0" fillId="0" borderId="20" xfId="0" applyNumberFormat="1" applyBorder="1" applyAlignment="1">
      <alignment wrapText="1"/>
    </xf>
    <xf numFmtId="2" fontId="0" fillId="0" borderId="124" xfId="0" applyNumberFormat="1" applyBorder="1" applyAlignment="1">
      <alignment wrapText="1"/>
    </xf>
    <xf numFmtId="2" fontId="0" fillId="0" borderId="20" xfId="0" applyNumberFormat="1" applyBorder="1"/>
    <xf numFmtId="2" fontId="0" fillId="0" borderId="124" xfId="0" applyNumberFormat="1" applyBorder="1"/>
    <xf numFmtId="9" fontId="11" fillId="10" borderId="19" xfId="4" applyFont="1" applyFill="1" applyBorder="1" applyAlignment="1">
      <alignment wrapText="1"/>
    </xf>
    <xf numFmtId="9" fontId="11" fillId="10" borderId="123" xfId="4" applyFont="1" applyFill="1" applyBorder="1" applyAlignment="1">
      <alignment wrapText="1"/>
    </xf>
    <xf numFmtId="9" fontId="11" fillId="10" borderId="19" xfId="4" applyFont="1" applyFill="1" applyBorder="1"/>
    <xf numFmtId="9" fontId="11" fillId="10" borderId="123" xfId="4" applyFont="1" applyFill="1" applyBorder="1"/>
    <xf numFmtId="0" fontId="11" fillId="10" borderId="0" xfId="0" applyFont="1" applyFill="1" applyAlignment="1">
      <alignment wrapText="1"/>
    </xf>
    <xf numFmtId="4" fontId="11" fillId="10" borderId="0" xfId="0" applyNumberFormat="1" applyFont="1" applyFill="1" applyAlignment="1">
      <alignment wrapText="1"/>
    </xf>
    <xf numFmtId="0" fontId="11" fillId="10" borderId="20" xfId="0" applyFont="1" applyFill="1" applyBorder="1" applyAlignment="1">
      <alignment horizontal="right" wrapText="1"/>
    </xf>
    <xf numFmtId="0" fontId="11" fillId="10" borderId="19" xfId="0" applyFont="1" applyFill="1" applyBorder="1" applyAlignment="1">
      <alignment horizontal="right" wrapText="1"/>
    </xf>
    <xf numFmtId="0" fontId="11" fillId="10" borderId="122" xfId="0" applyFont="1" applyFill="1" applyBorder="1" applyAlignment="1">
      <alignment horizontal="right"/>
    </xf>
    <xf numFmtId="0" fontId="11" fillId="10" borderId="116" xfId="0" applyFont="1" applyFill="1" applyBorder="1" applyAlignment="1">
      <alignment horizontal="right"/>
    </xf>
    <xf numFmtId="4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4" fontId="11" fillId="0" borderId="0" xfId="0" applyNumberFormat="1" applyFont="1" applyAlignment="1">
      <alignment wrapText="1"/>
    </xf>
    <xf numFmtId="9" fontId="11" fillId="19" borderId="20" xfId="4" applyFont="1" applyFill="1" applyBorder="1" applyAlignment="1">
      <alignment wrapText="1"/>
    </xf>
    <xf numFmtId="2" fontId="0" fillId="0" borderId="0" xfId="0" applyNumberFormat="1"/>
    <xf numFmtId="9" fontId="11" fillId="19" borderId="21" xfId="4" applyFont="1" applyFill="1" applyBorder="1" applyAlignment="1">
      <alignment wrapText="1"/>
    </xf>
    <xf numFmtId="2" fontId="0" fillId="0" borderId="21" xfId="0" applyNumberFormat="1" applyBorder="1" applyAlignment="1">
      <alignment wrapText="1"/>
    </xf>
    <xf numFmtId="2" fontId="0" fillId="0" borderId="21" xfId="0" applyNumberFormat="1" applyBorder="1"/>
    <xf numFmtId="9" fontId="11" fillId="19" borderId="123" xfId="4" applyFont="1" applyFill="1" applyBorder="1" applyAlignment="1">
      <alignment wrapText="1"/>
    </xf>
    <xf numFmtId="9" fontId="11" fillId="19" borderId="124" xfId="4" applyFont="1" applyFill="1" applyBorder="1" applyAlignment="1">
      <alignment wrapText="1"/>
    </xf>
    <xf numFmtId="9" fontId="11" fillId="19" borderId="116" xfId="4" applyFont="1" applyFill="1" applyBorder="1" applyAlignment="1">
      <alignment wrapText="1"/>
    </xf>
    <xf numFmtId="0" fontId="41" fillId="14" borderId="15" xfId="0" applyFont="1" applyFill="1" applyBorder="1"/>
    <xf numFmtId="0" fontId="0" fillId="17" borderId="60" xfId="0" applyFill="1" applyBorder="1"/>
    <xf numFmtId="0" fontId="0" fillId="17" borderId="22" xfId="0" applyFill="1" applyBorder="1"/>
    <xf numFmtId="0" fontId="0" fillId="17" borderId="86" xfId="0" applyFill="1" applyBorder="1"/>
    <xf numFmtId="0" fontId="0" fillId="17" borderId="114" xfId="0" applyFill="1" applyBorder="1"/>
    <xf numFmtId="0" fontId="38" fillId="12" borderId="13" xfId="0" applyFont="1" applyFill="1" applyBorder="1" applyAlignment="1">
      <alignment horizontal="center" vertical="center" wrapText="1"/>
    </xf>
    <xf numFmtId="0" fontId="39" fillId="17" borderId="135" xfId="0" applyFont="1" applyFill="1" applyBorder="1" applyAlignment="1">
      <alignment vertical="center"/>
    </xf>
    <xf numFmtId="0" fontId="38" fillId="12" borderId="23" xfId="0" applyFont="1" applyFill="1" applyBorder="1" applyAlignment="1">
      <alignment vertical="center"/>
    </xf>
    <xf numFmtId="0" fontId="38" fillId="12" borderId="8" xfId="0" applyFont="1" applyFill="1" applyBorder="1" applyAlignment="1">
      <alignment vertical="center" wrapText="1"/>
    </xf>
    <xf numFmtId="0" fontId="38" fillId="12" borderId="14" xfId="0" applyFont="1" applyFill="1" applyBorder="1" applyAlignment="1">
      <alignment vertical="center"/>
    </xf>
    <xf numFmtId="0" fontId="38" fillId="12" borderId="13" xfId="0" applyFont="1" applyFill="1" applyBorder="1" applyAlignment="1">
      <alignment vertical="center"/>
    </xf>
    <xf numFmtId="0" fontId="38" fillId="12" borderId="14" xfId="0" applyFont="1" applyFill="1" applyBorder="1" applyAlignment="1">
      <alignment horizontal="center" vertical="center" wrapText="1"/>
    </xf>
    <xf numFmtId="0" fontId="38" fillId="12" borderId="23" xfId="0" applyFont="1" applyFill="1" applyBorder="1" applyAlignment="1">
      <alignment horizontal="center" vertical="center" wrapText="1"/>
    </xf>
    <xf numFmtId="0" fontId="38" fillId="12" borderId="24" xfId="0" applyFont="1" applyFill="1" applyBorder="1" applyAlignment="1">
      <alignment horizontal="center" vertical="center" wrapText="1"/>
    </xf>
    <xf numFmtId="0" fontId="38" fillId="12" borderId="0" xfId="0" applyFont="1" applyFill="1" applyAlignment="1">
      <alignment horizontal="center" vertical="center" wrapText="1"/>
    </xf>
    <xf numFmtId="0" fontId="41" fillId="14" borderId="26" xfId="0" applyFont="1" applyFill="1" applyBorder="1" applyAlignment="1">
      <alignment horizontal="center" vertical="center"/>
    </xf>
    <xf numFmtId="0" fontId="38" fillId="12" borderId="6" xfId="0" applyFont="1" applyFill="1" applyBorder="1" applyAlignment="1">
      <alignment horizontal="center" vertical="center" wrapText="1"/>
    </xf>
    <xf numFmtId="2" fontId="41" fillId="14" borderId="30" xfId="0" applyNumberFormat="1" applyFont="1" applyFill="1" applyBorder="1" applyAlignment="1">
      <alignment horizontal="center" vertical="center"/>
    </xf>
    <xf numFmtId="0" fontId="38" fillId="12" borderId="6" xfId="0" applyFont="1" applyFill="1" applyBorder="1" applyAlignment="1">
      <alignment horizontal="center" vertical="top" wrapText="1"/>
    </xf>
    <xf numFmtId="0" fontId="37" fillId="17" borderId="130" xfId="0" applyFont="1" applyFill="1" applyBorder="1" applyAlignment="1">
      <alignment horizontal="center" vertical="center"/>
    </xf>
    <xf numFmtId="0" fontId="37" fillId="17" borderId="133" xfId="0" applyFont="1" applyFill="1" applyBorder="1" applyAlignment="1">
      <alignment horizontal="center" vertical="center"/>
    </xf>
    <xf numFmtId="0" fontId="40" fillId="17" borderId="135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1" fillId="19" borderId="0" xfId="0" applyFont="1" applyFill="1"/>
    <xf numFmtId="0" fontId="11" fillId="19" borderId="0" xfId="0" applyFont="1" applyFill="1" applyAlignment="1">
      <alignment horizontal="left"/>
    </xf>
    <xf numFmtId="0" fontId="11" fillId="0" borderId="69" xfId="0" applyFont="1" applyBorder="1" applyAlignment="1">
      <alignment horizontal="center" vertical="center" wrapText="1"/>
    </xf>
    <xf numFmtId="0" fontId="11" fillId="0" borderId="15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147" xfId="0" applyBorder="1" applyAlignment="1">
      <alignment horizontal="center" vertical="center" wrapText="1"/>
    </xf>
    <xf numFmtId="0" fontId="59" fillId="0" borderId="0" xfId="0" applyFont="1"/>
    <xf numFmtId="2" fontId="41" fillId="14" borderId="69" xfId="0" applyNumberFormat="1" applyFont="1" applyFill="1" applyBorder="1" applyAlignment="1">
      <alignment horizontal="center" vertical="center"/>
    </xf>
    <xf numFmtId="2" fontId="41" fillId="14" borderId="29" xfId="0" applyNumberFormat="1" applyFont="1" applyFill="1" applyBorder="1" applyAlignment="1">
      <alignment horizontal="center" vertical="center"/>
    </xf>
    <xf numFmtId="0" fontId="38" fillId="12" borderId="80" xfId="0" applyFont="1" applyFill="1" applyBorder="1" applyAlignment="1">
      <alignment horizontal="center" vertical="top" wrapText="1"/>
    </xf>
    <xf numFmtId="0" fontId="38" fillId="12" borderId="6" xfId="0" applyFont="1" applyFill="1" applyBorder="1" applyAlignment="1">
      <alignment vertical="center"/>
    </xf>
    <xf numFmtId="0" fontId="38" fillId="12" borderId="0" xfId="0" applyFont="1" applyFill="1" applyAlignment="1">
      <alignment vertical="center"/>
    </xf>
    <xf numFmtId="0" fontId="38" fillId="12" borderId="24" xfId="0" applyFont="1" applyFill="1" applyBorder="1" applyAlignment="1">
      <alignment vertical="center"/>
    </xf>
    <xf numFmtId="0" fontId="38" fillId="12" borderId="80" xfId="0" applyFont="1" applyFill="1" applyBorder="1" applyAlignment="1">
      <alignment vertical="center" wrapText="1"/>
    </xf>
    <xf numFmtId="0" fontId="11" fillId="9" borderId="153" xfId="0" applyFont="1" applyFill="1" applyBorder="1"/>
    <xf numFmtId="0" fontId="11" fillId="9" borderId="150" xfId="0" applyFont="1" applyFill="1" applyBorder="1"/>
    <xf numFmtId="0" fontId="11" fillId="9" borderId="151" xfId="0" applyFont="1" applyFill="1" applyBorder="1"/>
    <xf numFmtId="0" fontId="0" fillId="25" borderId="114" xfId="0" applyFill="1" applyBorder="1"/>
    <xf numFmtId="0" fontId="0" fillId="25" borderId="22" xfId="0" applyFill="1" applyBorder="1"/>
    <xf numFmtId="0" fontId="35" fillId="17" borderId="22" xfId="0" applyFont="1" applyFill="1" applyBorder="1"/>
    <xf numFmtId="0" fontId="43" fillId="17" borderId="155" xfId="0" applyFont="1" applyFill="1" applyBorder="1" applyAlignment="1">
      <alignment horizontal="center" vertical="center"/>
    </xf>
    <xf numFmtId="0" fontId="43" fillId="17" borderId="156" xfId="0" applyFont="1" applyFill="1" applyBorder="1" applyAlignment="1">
      <alignment horizontal="center" vertical="center"/>
    </xf>
    <xf numFmtId="0" fontId="43" fillId="17" borderId="157" xfId="0" applyFont="1" applyFill="1" applyBorder="1" applyAlignment="1">
      <alignment horizontal="center" vertical="center"/>
    </xf>
    <xf numFmtId="0" fontId="43" fillId="17" borderId="158" xfId="0" applyFont="1" applyFill="1" applyBorder="1" applyAlignment="1">
      <alignment horizontal="center" vertical="center"/>
    </xf>
    <xf numFmtId="0" fontId="43" fillId="17" borderId="159" xfId="0" applyFont="1" applyFill="1" applyBorder="1" applyAlignment="1">
      <alignment horizontal="center" vertical="center"/>
    </xf>
    <xf numFmtId="0" fontId="43" fillId="17" borderId="160" xfId="0" applyFont="1" applyFill="1" applyBorder="1" applyAlignment="1">
      <alignment horizontal="center" vertical="center"/>
    </xf>
    <xf numFmtId="0" fontId="43" fillId="17" borderId="161" xfId="0" applyFont="1" applyFill="1" applyBorder="1" applyAlignment="1">
      <alignment horizontal="center" vertical="center"/>
    </xf>
    <xf numFmtId="0" fontId="43" fillId="17" borderId="162" xfId="0" applyFont="1" applyFill="1" applyBorder="1" applyAlignment="1">
      <alignment horizontal="center" vertical="center"/>
    </xf>
    <xf numFmtId="0" fontId="43" fillId="17" borderId="163" xfId="0" applyFont="1" applyFill="1" applyBorder="1" applyAlignment="1">
      <alignment horizontal="center" vertical="center"/>
    </xf>
    <xf numFmtId="0" fontId="0" fillId="25" borderId="22" xfId="0" applyFill="1" applyBorder="1" applyAlignment="1">
      <alignment wrapText="1"/>
    </xf>
    <xf numFmtId="0" fontId="62" fillId="21" borderId="114" xfId="6" applyFont="1" applyFill="1" applyBorder="1" applyAlignment="1">
      <alignment vertical="center"/>
    </xf>
    <xf numFmtId="0" fontId="62" fillId="21" borderId="22" xfId="6" applyFont="1" applyFill="1" applyBorder="1" applyAlignment="1">
      <alignment vertical="center"/>
    </xf>
    <xf numFmtId="0" fontId="0" fillId="17" borderId="22" xfId="0" applyFill="1" applyBorder="1" applyAlignment="1">
      <alignment wrapText="1"/>
    </xf>
    <xf numFmtId="0" fontId="11" fillId="0" borderId="60" xfId="0" applyFont="1" applyBorder="1" applyAlignment="1">
      <alignment horizont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11" fillId="19" borderId="125" xfId="0" applyFont="1" applyFill="1" applyBorder="1"/>
    <xf numFmtId="0" fontId="11" fillId="19" borderId="34" xfId="0" applyFont="1" applyFill="1" applyBorder="1"/>
    <xf numFmtId="0" fontId="11" fillId="19" borderId="113" xfId="0" applyFont="1" applyFill="1" applyBorder="1"/>
    <xf numFmtId="165" fontId="11" fillId="19" borderId="22" xfId="5" applyNumberFormat="1" applyFont="1" applyFill="1" applyBorder="1"/>
    <xf numFmtId="165" fontId="11" fillId="19" borderId="125" xfId="5" applyNumberFormat="1" applyFont="1" applyFill="1" applyBorder="1"/>
    <xf numFmtId="0" fontId="11" fillId="0" borderId="125" xfId="0" applyFont="1" applyBorder="1"/>
    <xf numFmtId="0" fontId="11" fillId="22" borderId="34" xfId="0" applyFont="1" applyFill="1" applyBorder="1"/>
    <xf numFmtId="0" fontId="11" fillId="22" borderId="113" xfId="0" applyFont="1" applyFill="1" applyBorder="1"/>
    <xf numFmtId="0" fontId="11" fillId="21" borderId="125" xfId="0" applyFont="1" applyFill="1" applyBorder="1"/>
    <xf numFmtId="0" fontId="11" fillId="21" borderId="34" xfId="0" applyFont="1" applyFill="1" applyBorder="1"/>
    <xf numFmtId="0" fontId="0" fillId="21" borderId="113" xfId="0" applyFill="1" applyBorder="1"/>
    <xf numFmtId="0" fontId="11" fillId="21" borderId="122" xfId="0" applyFont="1" applyFill="1" applyBorder="1"/>
    <xf numFmtId="0" fontId="11" fillId="21" borderId="18" xfId="0" applyFont="1" applyFill="1" applyBorder="1"/>
    <xf numFmtId="0" fontId="0" fillId="21" borderId="116" xfId="0" applyFill="1" applyBorder="1"/>
    <xf numFmtId="0" fontId="35" fillId="0" borderId="0" xfId="0" applyFont="1" applyAlignment="1">
      <alignment horizontal="left" vertical="top" wrapText="1"/>
    </xf>
    <xf numFmtId="0" fontId="12" fillId="18" borderId="0" xfId="0" applyFont="1" applyFill="1" applyAlignment="1">
      <alignment horizontal="left" vertical="top" wrapText="1"/>
    </xf>
    <xf numFmtId="0" fontId="12" fillId="18" borderId="15" xfId="0" applyFont="1" applyFill="1" applyBorder="1" applyAlignment="1">
      <alignment horizontal="left" vertical="top" wrapText="1"/>
    </xf>
    <xf numFmtId="0" fontId="12" fillId="18" borderId="26" xfId="0" applyFont="1" applyFill="1" applyBorder="1" applyAlignment="1">
      <alignment horizontal="left" vertical="top" wrapText="1"/>
    </xf>
    <xf numFmtId="0" fontId="12" fillId="18" borderId="5" xfId="0" applyFont="1" applyFill="1" applyBorder="1" applyAlignment="1">
      <alignment horizontal="left" vertical="top" wrapText="1"/>
    </xf>
    <xf numFmtId="0" fontId="12" fillId="18" borderId="0" xfId="0" applyFont="1" applyFill="1" applyAlignment="1">
      <alignment horizontal="center" vertical="top" wrapText="1"/>
    </xf>
    <xf numFmtId="0" fontId="12" fillId="18" borderId="27" xfId="0" applyFont="1" applyFill="1" applyBorder="1" applyAlignment="1">
      <alignment horizontal="center" vertical="top" wrapText="1"/>
    </xf>
    <xf numFmtId="0" fontId="12" fillId="18" borderId="19" xfId="0" applyFont="1" applyFill="1" applyBorder="1" applyAlignment="1">
      <alignment horizontal="center" vertical="top" wrapText="1"/>
    </xf>
    <xf numFmtId="0" fontId="12" fillId="18" borderId="5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167" fontId="0" fillId="0" borderId="14" xfId="5" applyNumberFormat="1" applyFont="1" applyBorder="1" applyAlignment="1">
      <alignment horizontal="center" vertical="center" wrapText="1"/>
    </xf>
    <xf numFmtId="167" fontId="0" fillId="0" borderId="23" xfId="5" applyNumberFormat="1" applyFont="1" applyBorder="1" applyAlignment="1">
      <alignment horizontal="center" vertical="center" wrapText="1"/>
    </xf>
    <xf numFmtId="167" fontId="0" fillId="0" borderId="13" xfId="5" applyNumberFormat="1" applyFont="1" applyBorder="1" applyAlignment="1">
      <alignment horizontal="center" vertical="center" wrapText="1"/>
    </xf>
    <xf numFmtId="167" fontId="17" fillId="5" borderId="84" xfId="5" applyNumberFormat="1" applyFont="1" applyFill="1" applyBorder="1" applyAlignment="1">
      <alignment horizontal="center" vertical="center" wrapText="1"/>
    </xf>
    <xf numFmtId="167" fontId="17" fillId="5" borderId="53" xfId="5" applyNumberFormat="1" applyFont="1" applyFill="1" applyBorder="1" applyAlignment="1">
      <alignment horizontal="center" vertical="center" wrapText="1"/>
    </xf>
    <xf numFmtId="167" fontId="57" fillId="20" borderId="53" xfId="5" applyNumberFormat="1" applyFont="1" applyFill="1" applyBorder="1" applyAlignment="1">
      <alignment horizontal="center" vertical="center" wrapText="1"/>
    </xf>
    <xf numFmtId="167" fontId="57" fillId="20" borderId="54" xfId="5" applyNumberFormat="1" applyFont="1" applyFill="1" applyBorder="1" applyAlignment="1">
      <alignment horizontal="center" vertical="center" wrapText="1"/>
    </xf>
    <xf numFmtId="9" fontId="35" fillId="0" borderId="0" xfId="4" applyFont="1" applyAlignment="1">
      <alignment horizontal="left" vertical="top" wrapText="1"/>
    </xf>
    <xf numFmtId="167" fontId="0" fillId="0" borderId="24" xfId="5" applyNumberFormat="1" applyFont="1" applyBorder="1" applyAlignment="1">
      <alignment horizontal="center" vertical="center" wrapText="1"/>
    </xf>
    <xf numFmtId="167" fontId="0" fillId="0" borderId="0" xfId="5" applyNumberFormat="1" applyFont="1" applyAlignment="1">
      <alignment horizontal="center" vertical="center" wrapText="1"/>
    </xf>
    <xf numFmtId="167" fontId="0" fillId="0" borderId="6" xfId="5" applyNumberFormat="1" applyFont="1" applyBorder="1" applyAlignment="1">
      <alignment horizontal="center" vertical="center" wrapText="1"/>
    </xf>
    <xf numFmtId="167" fontId="17" fillId="5" borderId="41" xfId="5" applyNumberFormat="1" applyFont="1" applyFill="1" applyBorder="1" applyAlignment="1">
      <alignment horizontal="center" vertical="center" wrapText="1"/>
    </xf>
    <xf numFmtId="167" fontId="17" fillId="5" borderId="17" xfId="5" applyNumberFormat="1" applyFont="1" applyFill="1" applyBorder="1" applyAlignment="1">
      <alignment horizontal="center" vertical="center" wrapText="1"/>
    </xf>
    <xf numFmtId="167" fontId="57" fillId="20" borderId="17" xfId="5" applyNumberFormat="1" applyFont="1" applyFill="1" applyBorder="1" applyAlignment="1">
      <alignment horizontal="center" vertical="center" wrapText="1"/>
    </xf>
    <xf numFmtId="167" fontId="57" fillId="20" borderId="98" xfId="5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top" wrapText="1"/>
    </xf>
    <xf numFmtId="167" fontId="0" fillId="0" borderId="15" xfId="5" applyNumberFormat="1" applyFont="1" applyBorder="1" applyAlignment="1">
      <alignment horizontal="center" vertical="center" wrapText="1"/>
    </xf>
    <xf numFmtId="167" fontId="0" fillId="0" borderId="26" xfId="5" applyNumberFormat="1" applyFont="1" applyBorder="1" applyAlignment="1">
      <alignment horizontal="center" vertical="center" wrapText="1"/>
    </xf>
    <xf numFmtId="167" fontId="0" fillId="0" borderId="5" xfId="5" applyNumberFormat="1" applyFont="1" applyBorder="1" applyAlignment="1">
      <alignment horizontal="center" vertical="center" wrapText="1"/>
    </xf>
    <xf numFmtId="167" fontId="17" fillId="5" borderId="85" xfId="5" applyNumberFormat="1" applyFont="1" applyFill="1" applyBorder="1" applyAlignment="1">
      <alignment horizontal="center" vertical="center" wrapText="1"/>
    </xf>
    <xf numFmtId="167" fontId="17" fillId="5" borderId="56" xfId="5" applyNumberFormat="1" applyFont="1" applyFill="1" applyBorder="1" applyAlignment="1">
      <alignment horizontal="center" vertical="center" wrapText="1"/>
    </xf>
    <xf numFmtId="167" fontId="57" fillId="20" borderId="56" xfId="5" applyNumberFormat="1" applyFont="1" applyFill="1" applyBorder="1" applyAlignment="1">
      <alignment horizontal="center" vertical="center" wrapText="1"/>
    </xf>
    <xf numFmtId="167" fontId="57" fillId="20" borderId="99" xfId="5" applyNumberFormat="1" applyFont="1" applyFill="1" applyBorder="1" applyAlignment="1">
      <alignment horizontal="center" vertical="center" wrapText="1"/>
    </xf>
    <xf numFmtId="168" fontId="0" fillId="0" borderId="14" xfId="0" applyNumberFormat="1" applyBorder="1" applyAlignment="1">
      <alignment horizontal="center" vertical="center" wrapText="1"/>
    </xf>
    <xf numFmtId="168" fontId="0" fillId="0" borderId="23" xfId="0" applyNumberFormat="1" applyBorder="1" applyAlignment="1">
      <alignment horizontal="center" vertical="center" wrapText="1"/>
    </xf>
    <xf numFmtId="168" fontId="0" fillId="0" borderId="13" xfId="0" applyNumberFormat="1" applyBorder="1" applyAlignment="1">
      <alignment horizontal="center" vertical="center" wrapText="1"/>
    </xf>
    <xf numFmtId="168" fontId="17" fillId="5" borderId="53" xfId="3" applyNumberFormat="1" applyFont="1" applyBorder="1" applyAlignment="1">
      <alignment horizontal="center" vertical="center" wrapText="1"/>
    </xf>
    <xf numFmtId="168" fontId="57" fillId="20" borderId="53" xfId="3" applyNumberFormat="1" applyFont="1" applyFill="1" applyBorder="1" applyAlignment="1">
      <alignment horizontal="center" vertical="center" wrapText="1"/>
    </xf>
    <xf numFmtId="168" fontId="17" fillId="5" borderId="129" xfId="3" applyNumberFormat="1" applyFont="1" applyBorder="1" applyAlignment="1">
      <alignment horizontal="center" vertical="center" wrapText="1"/>
    </xf>
    <xf numFmtId="168" fontId="57" fillId="20" borderId="97" xfId="3" applyNumberFormat="1" applyFont="1" applyFill="1" applyBorder="1" applyAlignment="1">
      <alignment horizontal="center" vertical="center" wrapText="1"/>
    </xf>
    <xf numFmtId="168" fontId="0" fillId="0" borderId="24" xfId="0" applyNumberFormat="1" applyBorder="1" applyAlignment="1">
      <alignment horizontal="center" vertical="center" wrapText="1"/>
    </xf>
    <xf numFmtId="168" fontId="0" fillId="0" borderId="0" xfId="0" applyNumberFormat="1" applyAlignment="1">
      <alignment horizontal="center" vertical="center" wrapText="1"/>
    </xf>
    <xf numFmtId="168" fontId="0" fillId="0" borderId="6" xfId="0" applyNumberFormat="1" applyBorder="1" applyAlignment="1">
      <alignment horizontal="center" vertical="center" wrapText="1"/>
    </xf>
    <xf numFmtId="168" fontId="17" fillId="5" borderId="17" xfId="3" applyNumberFormat="1" applyFont="1" applyAlignment="1">
      <alignment horizontal="center" vertical="center" wrapText="1"/>
    </xf>
    <xf numFmtId="168" fontId="57" fillId="20" borderId="17" xfId="3" applyNumberFormat="1" applyFont="1" applyFill="1" applyAlignment="1">
      <alignment horizontal="center" vertical="center" wrapText="1"/>
    </xf>
    <xf numFmtId="168" fontId="17" fillId="5" borderId="127" xfId="3" applyNumberFormat="1" applyFont="1" applyBorder="1" applyAlignment="1">
      <alignment horizontal="center" vertical="center" wrapText="1"/>
    </xf>
    <xf numFmtId="168" fontId="57" fillId="20" borderId="98" xfId="3" applyNumberFormat="1" applyFont="1" applyFill="1" applyBorder="1" applyAlignment="1">
      <alignment horizontal="center" vertical="center" wrapText="1"/>
    </xf>
    <xf numFmtId="168" fontId="0" fillId="0" borderId="15" xfId="0" applyNumberFormat="1" applyBorder="1" applyAlignment="1">
      <alignment horizontal="center" vertical="center" wrapText="1"/>
    </xf>
    <xf numFmtId="168" fontId="0" fillId="0" borderId="26" xfId="0" applyNumberFormat="1" applyBorder="1" applyAlignment="1">
      <alignment horizontal="center" vertical="center" wrapText="1"/>
    </xf>
    <xf numFmtId="168" fontId="0" fillId="0" borderId="5" xfId="0" applyNumberFormat="1" applyBorder="1" applyAlignment="1">
      <alignment horizontal="center" vertical="center" wrapText="1"/>
    </xf>
    <xf numFmtId="168" fontId="17" fillId="5" borderId="56" xfId="3" applyNumberFormat="1" applyFont="1" applyBorder="1" applyAlignment="1">
      <alignment horizontal="center" vertical="center" wrapText="1"/>
    </xf>
    <xf numFmtId="168" fontId="57" fillId="20" borderId="56" xfId="3" applyNumberFormat="1" applyFont="1" applyFill="1" applyBorder="1" applyAlignment="1">
      <alignment horizontal="center" vertical="center" wrapText="1"/>
    </xf>
    <xf numFmtId="168" fontId="17" fillId="5" borderId="128" xfId="3" applyNumberFormat="1" applyFont="1" applyBorder="1" applyAlignment="1">
      <alignment horizontal="center" vertical="center" wrapText="1"/>
    </xf>
    <xf numFmtId="168" fontId="57" fillId="20" borderId="99" xfId="3" applyNumberFormat="1" applyFont="1" applyFill="1" applyBorder="1" applyAlignment="1">
      <alignment horizontal="center" vertical="center" wrapText="1"/>
    </xf>
    <xf numFmtId="9" fontId="35" fillId="0" borderId="18" xfId="0" applyNumberFormat="1" applyFont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35" fillId="0" borderId="21" xfId="0" applyFont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11" fillId="16" borderId="28" xfId="0" applyFont="1" applyFill="1" applyBorder="1" applyAlignment="1">
      <alignment horizontal="left" vertical="top" wrapText="1"/>
    </xf>
    <xf numFmtId="0" fontId="0" fillId="16" borderId="29" xfId="0" applyFill="1" applyBorder="1" applyAlignment="1">
      <alignment horizontal="left" vertical="top" wrapText="1"/>
    </xf>
    <xf numFmtId="0" fontId="0" fillId="16" borderId="30" xfId="0" applyFill="1" applyBorder="1" applyAlignment="1">
      <alignment horizontal="left" vertical="top" wrapText="1"/>
    </xf>
    <xf numFmtId="0" fontId="55" fillId="16" borderId="29" xfId="0" applyFont="1" applyFill="1" applyBorder="1" applyAlignment="1">
      <alignment horizontal="left" vertical="top" wrapText="1"/>
    </xf>
    <xf numFmtId="0" fontId="17" fillId="16" borderId="141" xfId="3" applyFont="1" applyFill="1" applyBorder="1" applyAlignment="1">
      <alignment horizontal="right" vertical="top" wrapText="1"/>
    </xf>
    <xf numFmtId="0" fontId="57" fillId="16" borderId="141" xfId="3" applyFont="1" applyFill="1" applyBorder="1" applyAlignment="1">
      <alignment horizontal="right" vertical="top" wrapText="1"/>
    </xf>
    <xf numFmtId="0" fontId="17" fillId="16" borderId="142" xfId="3" applyFont="1" applyFill="1" applyBorder="1" applyAlignment="1">
      <alignment horizontal="right" vertical="top" wrapText="1"/>
    </xf>
    <xf numFmtId="0" fontId="57" fillId="16" borderId="30" xfId="3" applyFont="1" applyFill="1" applyBorder="1" applyAlignment="1">
      <alignment horizontal="right" vertical="top" wrapText="1"/>
    </xf>
    <xf numFmtId="0" fontId="0" fillId="7" borderId="6" xfId="0" applyFill="1" applyBorder="1" applyAlignment="1">
      <alignment horizontal="left" vertical="top" wrapText="1"/>
    </xf>
    <xf numFmtId="167" fontId="58" fillId="20" borderId="24" xfId="5" applyNumberFormat="1" applyFont="1" applyFill="1" applyBorder="1" applyAlignment="1">
      <alignment horizontal="center" vertical="center" wrapText="1"/>
    </xf>
    <xf numFmtId="167" fontId="58" fillId="20" borderId="0" xfId="5" applyNumberFormat="1" applyFont="1" applyFill="1" applyAlignment="1">
      <alignment horizontal="center" vertical="center" wrapText="1"/>
    </xf>
    <xf numFmtId="167" fontId="58" fillId="20" borderId="6" xfId="5" applyNumberFormat="1" applyFont="1" applyFill="1" applyBorder="1" applyAlignment="1">
      <alignment horizontal="center" vertical="center" wrapText="1"/>
    </xf>
    <xf numFmtId="167" fontId="57" fillId="23" borderId="137" xfId="5" applyNumberFormat="1" applyFont="1" applyFill="1" applyBorder="1" applyAlignment="1">
      <alignment horizontal="center" vertical="center" wrapText="1"/>
    </xf>
    <xf numFmtId="167" fontId="57" fillId="23" borderId="138" xfId="5" applyNumberFormat="1" applyFont="1" applyFill="1" applyBorder="1" applyAlignment="1">
      <alignment horizontal="center" vertical="center" wrapText="1"/>
    </xf>
    <xf numFmtId="167" fontId="57" fillId="20" borderId="138" xfId="5" applyNumberFormat="1" applyFont="1" applyFill="1" applyBorder="1" applyAlignment="1">
      <alignment horizontal="center" vertical="center" wrapText="1"/>
    </xf>
    <xf numFmtId="167" fontId="57" fillId="23" borderId="139" xfId="5" applyNumberFormat="1" applyFont="1" applyFill="1" applyBorder="1" applyAlignment="1">
      <alignment horizontal="center" vertical="center" wrapText="1"/>
    </xf>
    <xf numFmtId="167" fontId="57" fillId="20" borderId="140" xfId="5" applyNumberFormat="1" applyFont="1" applyFill="1" applyBorder="1" applyAlignment="1">
      <alignment horizontal="center" vertical="center" wrapText="1"/>
    </xf>
    <xf numFmtId="9" fontId="35" fillId="0" borderId="24" xfId="0" applyNumberFormat="1" applyFont="1" applyBorder="1" applyAlignment="1">
      <alignment horizontal="left" vertical="top" wrapText="1"/>
    </xf>
    <xf numFmtId="167" fontId="57" fillId="23" borderId="41" xfId="5" applyNumberFormat="1" applyFont="1" applyFill="1" applyBorder="1" applyAlignment="1">
      <alignment horizontal="center" vertical="center" wrapText="1"/>
    </xf>
    <xf numFmtId="167" fontId="57" fillId="23" borderId="17" xfId="5" applyNumberFormat="1" applyFont="1" applyFill="1" applyBorder="1" applyAlignment="1">
      <alignment horizontal="center" vertical="center" wrapText="1"/>
    </xf>
    <xf numFmtId="167" fontId="57" fillId="23" borderId="127" xfId="5" applyNumberFormat="1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left" vertical="top" wrapText="1"/>
    </xf>
    <xf numFmtId="167" fontId="58" fillId="20" borderId="15" xfId="5" applyNumberFormat="1" applyFont="1" applyFill="1" applyBorder="1" applyAlignment="1">
      <alignment horizontal="center" vertical="center" wrapText="1"/>
    </xf>
    <xf numFmtId="167" fontId="58" fillId="20" borderId="26" xfId="5" applyNumberFormat="1" applyFont="1" applyFill="1" applyBorder="1" applyAlignment="1">
      <alignment horizontal="center" vertical="center" wrapText="1"/>
    </xf>
    <xf numFmtId="167" fontId="58" fillId="20" borderId="5" xfId="5" applyNumberFormat="1" applyFont="1" applyFill="1" applyBorder="1" applyAlignment="1">
      <alignment horizontal="center" vertical="center" wrapText="1"/>
    </xf>
    <xf numFmtId="167" fontId="57" fillId="23" borderId="85" xfId="5" applyNumberFormat="1" applyFont="1" applyFill="1" applyBorder="1" applyAlignment="1">
      <alignment horizontal="center" vertical="center" wrapText="1"/>
    </xf>
    <xf numFmtId="167" fontId="57" fillId="23" borderId="56" xfId="5" applyNumberFormat="1" applyFont="1" applyFill="1" applyBorder="1" applyAlignment="1">
      <alignment horizontal="center" vertical="center" wrapText="1"/>
    </xf>
    <xf numFmtId="167" fontId="57" fillId="23" borderId="128" xfId="5" applyNumberFormat="1" applyFont="1" applyFill="1" applyBorder="1" applyAlignment="1">
      <alignment horizontal="center" vertical="center" wrapText="1"/>
    </xf>
    <xf numFmtId="167" fontId="57" fillId="23" borderId="84" xfId="5" applyNumberFormat="1" applyFont="1" applyFill="1" applyBorder="1" applyAlignment="1">
      <alignment horizontal="center" vertical="center" wrapText="1"/>
    </xf>
    <xf numFmtId="167" fontId="57" fillId="23" borderId="53" xfId="5" applyNumberFormat="1" applyFont="1" applyFill="1" applyBorder="1" applyAlignment="1">
      <alignment horizontal="center" vertical="center" wrapText="1"/>
    </xf>
    <xf numFmtId="167" fontId="57" fillId="23" borderId="129" xfId="5" applyNumberFormat="1" applyFont="1" applyFill="1" applyBorder="1" applyAlignment="1">
      <alignment horizontal="center" vertical="center" wrapText="1"/>
    </xf>
    <xf numFmtId="167" fontId="57" fillId="20" borderId="97" xfId="5" applyNumberFormat="1" applyFont="1" applyFill="1" applyBorder="1" applyAlignment="1">
      <alignment horizontal="center" vertical="center" wrapText="1"/>
    </xf>
    <xf numFmtId="168" fontId="58" fillId="20" borderId="24" xfId="5" applyNumberFormat="1" applyFont="1" applyFill="1" applyBorder="1" applyAlignment="1">
      <alignment horizontal="center" vertical="center" wrapText="1"/>
    </xf>
    <xf numFmtId="168" fontId="58" fillId="20" borderId="0" xfId="5" applyNumberFormat="1" applyFont="1" applyFill="1" applyAlignment="1">
      <alignment horizontal="center" vertical="center" wrapText="1"/>
    </xf>
    <xf numFmtId="168" fontId="58" fillId="20" borderId="6" xfId="5" applyNumberFormat="1" applyFont="1" applyFill="1" applyBorder="1" applyAlignment="1">
      <alignment horizontal="center" vertical="center" wrapText="1"/>
    </xf>
    <xf numFmtId="168" fontId="57" fillId="23" borderId="84" xfId="5" applyNumberFormat="1" applyFont="1" applyFill="1" applyBorder="1" applyAlignment="1">
      <alignment horizontal="center" vertical="center" wrapText="1"/>
    </xf>
    <xf numFmtId="168" fontId="57" fillId="23" borderId="53" xfId="5" applyNumberFormat="1" applyFont="1" applyFill="1" applyBorder="1" applyAlignment="1">
      <alignment horizontal="center" vertical="center" wrapText="1"/>
    </xf>
    <xf numFmtId="168" fontId="57" fillId="20" borderId="53" xfId="5" applyNumberFormat="1" applyFont="1" applyFill="1" applyBorder="1" applyAlignment="1">
      <alignment horizontal="center" vertical="center" wrapText="1"/>
    </xf>
    <xf numFmtId="168" fontId="57" fillId="23" borderId="129" xfId="5" applyNumberFormat="1" applyFont="1" applyFill="1" applyBorder="1" applyAlignment="1">
      <alignment horizontal="center" vertical="center" wrapText="1"/>
    </xf>
    <xf numFmtId="168" fontId="57" fillId="20" borderId="97" xfId="5" applyNumberFormat="1" applyFont="1" applyFill="1" applyBorder="1" applyAlignment="1">
      <alignment horizontal="center" vertical="center" wrapText="1"/>
    </xf>
    <xf numFmtId="168" fontId="57" fillId="23" borderId="41" xfId="5" applyNumberFormat="1" applyFont="1" applyFill="1" applyBorder="1" applyAlignment="1">
      <alignment horizontal="center" vertical="center" wrapText="1"/>
    </xf>
    <xf numFmtId="168" fontId="57" fillId="23" borderId="17" xfId="5" applyNumberFormat="1" applyFont="1" applyFill="1" applyBorder="1" applyAlignment="1">
      <alignment horizontal="center" vertical="center" wrapText="1"/>
    </xf>
    <xf numFmtId="168" fontId="57" fillId="20" borderId="17" xfId="5" applyNumberFormat="1" applyFont="1" applyFill="1" applyBorder="1" applyAlignment="1">
      <alignment horizontal="center" vertical="center" wrapText="1"/>
    </xf>
    <xf numFmtId="168" fontId="57" fillId="23" borderId="127" xfId="5" applyNumberFormat="1" applyFont="1" applyFill="1" applyBorder="1" applyAlignment="1">
      <alignment horizontal="center" vertical="center" wrapText="1"/>
    </xf>
    <xf numFmtId="168" fontId="57" fillId="20" borderId="98" xfId="5" applyNumberFormat="1" applyFont="1" applyFill="1" applyBorder="1" applyAlignment="1">
      <alignment horizontal="center" vertical="center" wrapText="1"/>
    </xf>
    <xf numFmtId="168" fontId="58" fillId="20" borderId="15" xfId="5" applyNumberFormat="1" applyFont="1" applyFill="1" applyBorder="1" applyAlignment="1">
      <alignment horizontal="center" vertical="center" wrapText="1"/>
    </xf>
    <xf numFmtId="168" fontId="58" fillId="20" borderId="26" xfId="5" applyNumberFormat="1" applyFont="1" applyFill="1" applyBorder="1" applyAlignment="1">
      <alignment horizontal="center" vertical="center" wrapText="1"/>
    </xf>
    <xf numFmtId="168" fontId="58" fillId="20" borderId="5" xfId="5" applyNumberFormat="1" applyFont="1" applyFill="1" applyBorder="1" applyAlignment="1">
      <alignment horizontal="center" vertical="center" wrapText="1"/>
    </xf>
    <xf numFmtId="168" fontId="57" fillId="23" borderId="85" xfId="5" applyNumberFormat="1" applyFont="1" applyFill="1" applyBorder="1" applyAlignment="1">
      <alignment horizontal="center" vertical="center" wrapText="1"/>
    </xf>
    <xf numFmtId="168" fontId="57" fillId="23" borderId="56" xfId="5" applyNumberFormat="1" applyFont="1" applyFill="1" applyBorder="1" applyAlignment="1">
      <alignment horizontal="center" vertical="center" wrapText="1"/>
    </xf>
    <xf numFmtId="168" fontId="57" fillId="20" borderId="56" xfId="5" applyNumberFormat="1" applyFont="1" applyFill="1" applyBorder="1" applyAlignment="1">
      <alignment horizontal="center" vertical="center" wrapText="1"/>
    </xf>
    <xf numFmtId="168" fontId="57" fillId="23" borderId="128" xfId="5" applyNumberFormat="1" applyFont="1" applyFill="1" applyBorder="1" applyAlignment="1">
      <alignment horizontal="center" vertical="center" wrapText="1"/>
    </xf>
    <xf numFmtId="168" fontId="57" fillId="20" borderId="99" xfId="5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6" xfId="0" applyBorder="1" applyAlignment="1">
      <alignment horizontal="left"/>
    </xf>
    <xf numFmtId="3" fontId="10" fillId="4" borderId="80" xfId="2" applyNumberFormat="1" applyBorder="1" applyAlignment="1">
      <alignment horizontal="right"/>
    </xf>
    <xf numFmtId="3" fontId="10" fillId="4" borderId="93" xfId="2" applyNumberFormat="1" applyBorder="1" applyProtection="1">
      <protection locked="0"/>
    </xf>
    <xf numFmtId="3" fontId="10" fillId="4" borderId="36" xfId="2" applyNumberFormat="1" applyBorder="1" applyProtection="1">
      <protection locked="0"/>
    </xf>
    <xf numFmtId="3" fontId="10" fillId="4" borderId="78" xfId="2" applyNumberFormat="1" applyBorder="1" applyProtection="1">
      <protection locked="0"/>
    </xf>
    <xf numFmtId="0" fontId="8" fillId="26" borderId="4" xfId="0" applyFont="1" applyFill="1" applyBorder="1" applyAlignment="1">
      <alignment horizontal="left" vertical="top" wrapText="1"/>
    </xf>
    <xf numFmtId="0" fontId="8" fillId="26" borderId="5" xfId="0" applyFont="1" applyFill="1" applyBorder="1" applyAlignment="1">
      <alignment horizontal="justify" vertical="top" wrapText="1"/>
    </xf>
    <xf numFmtId="0" fontId="8" fillId="26" borderId="5" xfId="0" applyFont="1" applyFill="1" applyBorder="1" applyAlignment="1">
      <alignment horizontal="center" vertical="top" wrapText="1"/>
    </xf>
    <xf numFmtId="0" fontId="8" fillId="26" borderId="6" xfId="0" applyFont="1" applyFill="1" applyBorder="1" applyAlignment="1">
      <alignment horizontal="justify" vertical="top" wrapText="1"/>
    </xf>
    <xf numFmtId="0" fontId="8" fillId="26" borderId="24" xfId="0" applyFont="1" applyFill="1" applyBorder="1" applyAlignment="1">
      <alignment horizontal="left" vertical="top" wrapText="1"/>
    </xf>
    <xf numFmtId="0" fontId="8" fillId="26" borderId="69" xfId="0" applyFont="1" applyFill="1" applyBorder="1" applyAlignment="1">
      <alignment horizontal="justify" vertical="top" wrapText="1"/>
    </xf>
    <xf numFmtId="0" fontId="8" fillId="26" borderId="6" xfId="0" applyFont="1" applyFill="1" applyBorder="1" applyAlignment="1">
      <alignment horizontal="center" vertical="top" wrapText="1"/>
    </xf>
    <xf numFmtId="0" fontId="8" fillId="26" borderId="69" xfId="0" applyFont="1" applyFill="1" applyBorder="1" applyAlignment="1">
      <alignment horizontal="left" vertical="top" wrapText="1"/>
    </xf>
    <xf numFmtId="0" fontId="8" fillId="26" borderId="69" xfId="0" applyFont="1" applyFill="1" applyBorder="1" applyAlignment="1">
      <alignment horizontal="center" vertical="top" wrapText="1"/>
    </xf>
    <xf numFmtId="2" fontId="6" fillId="17" borderId="6" xfId="1" applyNumberFormat="1" applyFont="1" applyFill="1" applyBorder="1" applyAlignment="1">
      <alignment vertical="top" wrapText="1"/>
    </xf>
    <xf numFmtId="2" fontId="6" fillId="17" borderId="69" xfId="1" applyNumberFormat="1" applyFont="1" applyFill="1" applyBorder="1" applyAlignment="1">
      <alignment vertical="top" wrapText="1"/>
    </xf>
    <xf numFmtId="0" fontId="28" fillId="0" borderId="0" xfId="0" applyFont="1" applyAlignment="1">
      <alignment vertical="center"/>
    </xf>
    <xf numFmtId="165" fontId="11" fillId="19" borderId="147" xfId="5" applyNumberFormat="1" applyFont="1" applyFill="1" applyBorder="1"/>
    <xf numFmtId="0" fontId="56" fillId="0" borderId="0" xfId="0" applyFont="1"/>
    <xf numFmtId="0" fontId="0" fillId="0" borderId="125" xfId="0" applyBorder="1"/>
    <xf numFmtId="0" fontId="0" fillId="0" borderId="34" xfId="0" applyBorder="1"/>
    <xf numFmtId="0" fontId="0" fillId="17" borderId="113" xfId="0" applyFill="1" applyBorder="1"/>
    <xf numFmtId="44" fontId="40" fillId="17" borderId="165" xfId="7" applyFont="1" applyFill="1" applyBorder="1" applyAlignment="1">
      <alignment horizontal="left" vertical="center"/>
    </xf>
    <xf numFmtId="0" fontId="40" fillId="17" borderId="166" xfId="0" applyFont="1" applyFill="1" applyBorder="1" applyAlignment="1">
      <alignment horizontal="left" vertical="center"/>
    </xf>
    <xf numFmtId="44" fontId="40" fillId="17" borderId="168" xfId="7" applyFont="1" applyFill="1" applyBorder="1" applyAlignment="1">
      <alignment horizontal="left" vertical="center"/>
    </xf>
    <xf numFmtId="0" fontId="38" fillId="12" borderId="69" xfId="0" applyFont="1" applyFill="1" applyBorder="1" applyAlignment="1">
      <alignment horizontal="left" vertical="center"/>
    </xf>
    <xf numFmtId="0" fontId="40" fillId="17" borderId="166" xfId="0" applyFont="1" applyFill="1" applyBorder="1" applyAlignment="1">
      <alignment horizontal="center" vertical="center"/>
    </xf>
    <xf numFmtId="0" fontId="40" fillId="17" borderId="135" xfId="0" applyFont="1" applyFill="1" applyBorder="1" applyAlignment="1">
      <alignment horizontal="center" vertical="center"/>
    </xf>
    <xf numFmtId="44" fontId="57" fillId="20" borderId="167" xfId="7" applyFont="1" applyFill="1" applyBorder="1" applyAlignment="1">
      <alignment horizontal="center" vertical="center" wrapText="1"/>
    </xf>
    <xf numFmtId="0" fontId="38" fillId="12" borderId="69" xfId="0" applyFont="1" applyFill="1" applyBorder="1" applyAlignment="1">
      <alignment horizontal="center" vertical="center"/>
    </xf>
    <xf numFmtId="44" fontId="40" fillId="17" borderId="135" xfId="7" applyFont="1" applyFill="1" applyBorder="1" applyAlignment="1">
      <alignment horizontal="center" vertical="center"/>
    </xf>
    <xf numFmtId="165" fontId="63" fillId="19" borderId="22" xfId="5" applyNumberFormat="1" applyFont="1" applyFill="1" applyBorder="1"/>
    <xf numFmtId="165" fontId="63" fillId="19" borderId="125" xfId="5" applyNumberFormat="1" applyFont="1" applyFill="1" applyBorder="1"/>
    <xf numFmtId="165" fontId="63" fillId="19" borderId="147" xfId="5" applyNumberFormat="1" applyFont="1" applyFill="1" applyBorder="1"/>
    <xf numFmtId="165" fontId="58" fillId="22" borderId="22" xfId="5" applyNumberFormat="1" applyFont="1" applyFill="1" applyBorder="1"/>
    <xf numFmtId="165" fontId="58" fillId="22" borderId="125" xfId="5" applyNumberFormat="1" applyFont="1" applyFill="1" applyBorder="1"/>
    <xf numFmtId="165" fontId="58" fillId="22" borderId="147" xfId="5" applyNumberFormat="1" applyFont="1" applyFill="1" applyBorder="1"/>
    <xf numFmtId="165" fontId="64" fillId="21" borderId="22" xfId="5" applyNumberFormat="1" applyFont="1" applyFill="1" applyBorder="1"/>
    <xf numFmtId="165" fontId="64" fillId="21" borderId="125" xfId="5" applyNumberFormat="1" applyFont="1" applyFill="1" applyBorder="1"/>
    <xf numFmtId="165" fontId="64" fillId="21" borderId="147" xfId="5" applyNumberFormat="1" applyFont="1" applyFill="1" applyBorder="1"/>
    <xf numFmtId="165" fontId="64" fillId="21" borderId="22" xfId="5" applyNumberFormat="1" applyFont="1" applyFill="1" applyBorder="1" applyAlignment="1">
      <alignment horizontal="center"/>
    </xf>
    <xf numFmtId="165" fontId="64" fillId="21" borderId="125" xfId="5" applyNumberFormat="1" applyFont="1" applyFill="1" applyBorder="1" applyAlignment="1">
      <alignment horizontal="center"/>
    </xf>
    <xf numFmtId="165" fontId="64" fillId="21" borderId="147" xfId="5" applyNumberFormat="1" applyFont="1" applyFill="1" applyBorder="1" applyAlignment="1">
      <alignment horizontal="center"/>
    </xf>
    <xf numFmtId="165" fontId="64" fillId="21" borderId="86" xfId="5" applyNumberFormat="1" applyFont="1" applyFill="1" applyBorder="1"/>
    <xf numFmtId="165" fontId="64" fillId="21" borderId="122" xfId="5" applyNumberFormat="1" applyFont="1" applyFill="1" applyBorder="1"/>
    <xf numFmtId="165" fontId="64" fillId="21" borderId="154" xfId="5" applyNumberFormat="1" applyFont="1" applyFill="1" applyBorder="1"/>
    <xf numFmtId="165" fontId="64" fillId="21" borderId="148" xfId="5" applyNumberFormat="1" applyFont="1" applyFill="1" applyBorder="1"/>
    <xf numFmtId="0" fontId="68" fillId="13" borderId="6" xfId="0" applyFont="1" applyFill="1" applyBorder="1" applyAlignment="1">
      <alignment horizontal="center" vertical="center"/>
    </xf>
    <xf numFmtId="0" fontId="37" fillId="17" borderId="24" xfId="0" applyFont="1" applyFill="1" applyBorder="1" applyAlignment="1">
      <alignment horizontal="center" vertical="center"/>
    </xf>
    <xf numFmtId="0" fontId="37" fillId="17" borderId="131" xfId="0" applyFont="1" applyFill="1" applyBorder="1" applyAlignment="1">
      <alignment horizontal="center" vertical="center"/>
    </xf>
    <xf numFmtId="0" fontId="37" fillId="17" borderId="132" xfId="0" applyFont="1" applyFill="1" applyBorder="1" applyAlignment="1">
      <alignment horizontal="center" vertical="center"/>
    </xf>
    <xf numFmtId="0" fontId="37" fillId="17" borderId="136" xfId="3" applyFont="1" applyFill="1" applyBorder="1" applyAlignment="1">
      <alignment horizontal="center"/>
    </xf>
    <xf numFmtId="0" fontId="37" fillId="17" borderId="92" xfId="3" applyFont="1" applyFill="1" applyBorder="1" applyAlignment="1">
      <alignment horizontal="center"/>
    </xf>
    <xf numFmtId="0" fontId="65" fillId="22" borderId="65" xfId="0" applyFont="1" applyFill="1" applyBorder="1" applyAlignment="1">
      <alignment horizontal="center" vertical="center"/>
    </xf>
    <xf numFmtId="0" fontId="65" fillId="22" borderId="64" xfId="0" applyFont="1" applyFill="1" applyBorder="1" applyAlignment="1">
      <alignment horizontal="center" vertical="center"/>
    </xf>
    <xf numFmtId="0" fontId="58" fillId="22" borderId="119" xfId="0" applyFont="1" applyFill="1" applyBorder="1"/>
    <xf numFmtId="0" fontId="58" fillId="22" borderId="60" xfId="0" applyFont="1" applyFill="1" applyBorder="1"/>
    <xf numFmtId="0" fontId="58" fillId="22" borderId="22" xfId="0" applyFont="1" applyFill="1" applyBorder="1"/>
    <xf numFmtId="0" fontId="58" fillId="22" borderId="113" xfId="0" applyFont="1" applyFill="1" applyBorder="1"/>
    <xf numFmtId="0" fontId="58" fillId="22" borderId="86" xfId="0" applyFont="1" applyFill="1" applyBorder="1"/>
    <xf numFmtId="0" fontId="58" fillId="22" borderId="116" xfId="0" applyFont="1" applyFill="1" applyBorder="1"/>
    <xf numFmtId="0" fontId="58" fillId="22" borderId="115" xfId="0" applyFont="1" applyFill="1" applyBorder="1"/>
    <xf numFmtId="4" fontId="67" fillId="24" borderId="51" xfId="2" applyNumberFormat="1" applyFont="1" applyFill="1" applyBorder="1" applyAlignment="1">
      <alignment horizontal="right" vertical="top" wrapText="1"/>
    </xf>
    <xf numFmtId="4" fontId="67" fillId="24" borderId="42" xfId="2" applyNumberFormat="1" applyFont="1" applyFill="1" applyBorder="1" applyAlignment="1">
      <alignment horizontal="right" vertical="top" wrapText="1"/>
    </xf>
    <xf numFmtId="4" fontId="67" fillId="24" borderId="52" xfId="2" applyNumberFormat="1" applyFont="1" applyFill="1" applyBorder="1" applyAlignment="1">
      <alignment horizontal="right" vertical="top" wrapText="1"/>
    </xf>
    <xf numFmtId="4" fontId="67" fillId="24" borderId="106" xfId="2" applyNumberFormat="1" applyFont="1" applyFill="1" applyBorder="1" applyAlignment="1">
      <alignment horizontal="right" vertical="top" wrapText="1"/>
    </xf>
    <xf numFmtId="4" fontId="67" fillId="24" borderId="95" xfId="2" applyNumberFormat="1" applyFont="1" applyFill="1" applyBorder="1" applyAlignment="1">
      <alignment horizontal="right" vertical="top" wrapText="1"/>
    </xf>
    <xf numFmtId="4" fontId="67" fillId="24" borderId="109" xfId="2" applyNumberFormat="1" applyFont="1" applyFill="1" applyBorder="1" applyAlignment="1">
      <alignment horizontal="right" vertical="top" wrapText="1"/>
    </xf>
    <xf numFmtId="4" fontId="67" fillId="24" borderId="107" xfId="2" applyNumberFormat="1" applyFont="1" applyFill="1" applyBorder="1" applyAlignment="1">
      <alignment horizontal="right" vertical="top" wrapText="1"/>
    </xf>
    <xf numFmtId="4" fontId="67" fillId="24" borderId="46" xfId="2" applyNumberFormat="1" applyFont="1" applyFill="1" applyBorder="1" applyAlignment="1">
      <alignment horizontal="right" vertical="top" wrapText="1"/>
    </xf>
    <xf numFmtId="4" fontId="67" fillId="24" borderId="45" xfId="2" applyNumberFormat="1" applyFont="1" applyFill="1" applyBorder="1" applyAlignment="1">
      <alignment horizontal="right" vertical="top" wrapText="1"/>
    </xf>
    <xf numFmtId="4" fontId="66" fillId="24" borderId="26" xfId="1" applyNumberFormat="1" applyFont="1" applyFill="1" applyBorder="1" applyAlignment="1">
      <alignment horizontal="right" vertical="top" wrapText="1"/>
    </xf>
    <xf numFmtId="4" fontId="67" fillId="24" borderId="44" xfId="2" applyNumberFormat="1" applyFont="1" applyFill="1" applyBorder="1" applyAlignment="1">
      <alignment horizontal="right" vertical="top" wrapText="1"/>
    </xf>
    <xf numFmtId="4" fontId="67" fillId="24" borderId="108" xfId="2" applyNumberFormat="1" applyFont="1" applyFill="1" applyBorder="1" applyAlignment="1">
      <alignment horizontal="right" vertical="top" wrapText="1"/>
    </xf>
    <xf numFmtId="4" fontId="67" fillId="24" borderId="43" xfId="2" applyNumberFormat="1" applyFont="1" applyFill="1" applyBorder="1" applyAlignment="1">
      <alignment horizontal="right" vertical="top" wrapText="1"/>
    </xf>
    <xf numFmtId="0" fontId="67" fillId="24" borderId="70" xfId="0" applyFont="1" applyFill="1" applyBorder="1" applyAlignment="1">
      <alignment horizontal="left" vertical="top" wrapText="1"/>
    </xf>
    <xf numFmtId="165" fontId="67" fillId="24" borderId="110" xfId="5" applyNumberFormat="1" applyFont="1" applyFill="1" applyBorder="1" applyAlignment="1">
      <alignment horizontal="right" vertical="top" wrapText="1"/>
    </xf>
    <xf numFmtId="165" fontId="67" fillId="24" borderId="111" xfId="5" applyNumberFormat="1" applyFont="1" applyFill="1" applyBorder="1" applyAlignment="1">
      <alignment horizontal="right" vertical="top" wrapText="1"/>
    </xf>
    <xf numFmtId="165" fontId="67" fillId="24" borderId="112" xfId="5" applyNumberFormat="1" applyFont="1" applyFill="1" applyBorder="1" applyAlignment="1">
      <alignment horizontal="right" vertical="top" wrapText="1"/>
    </xf>
    <xf numFmtId="165" fontId="67" fillId="24" borderId="47" xfId="5" applyNumberFormat="1" applyFont="1" applyFill="1" applyBorder="1" applyAlignment="1">
      <alignment horizontal="right" vertical="top" wrapText="1"/>
    </xf>
    <xf numFmtId="165" fontId="67" fillId="24" borderId="48" xfId="5" applyNumberFormat="1" applyFont="1" applyFill="1" applyBorder="1" applyAlignment="1">
      <alignment horizontal="right" vertical="top" wrapText="1"/>
    </xf>
    <xf numFmtId="165" fontId="67" fillId="24" borderId="49" xfId="5" applyNumberFormat="1" applyFont="1" applyFill="1" applyBorder="1" applyAlignment="1">
      <alignment horizontal="right" vertical="top" wrapText="1"/>
    </xf>
    <xf numFmtId="0" fontId="41" fillId="14" borderId="26" xfId="0" applyFont="1" applyFill="1" applyBorder="1"/>
    <xf numFmtId="0" fontId="38" fillId="12" borderId="8" xfId="0" applyFont="1" applyFill="1" applyBorder="1" applyAlignment="1">
      <alignment horizontal="center" vertical="center" wrapText="1"/>
    </xf>
    <xf numFmtId="0" fontId="68" fillId="13" borderId="5" xfId="0" applyFont="1" applyFill="1" applyBorder="1" applyAlignment="1">
      <alignment horizontal="center" vertical="center"/>
    </xf>
    <xf numFmtId="0" fontId="43" fillId="17" borderId="169" xfId="0" applyFont="1" applyFill="1" applyBorder="1" applyAlignment="1">
      <alignment horizontal="center" vertical="center"/>
    </xf>
    <xf numFmtId="0" fontId="43" fillId="17" borderId="170" xfId="0" applyFont="1" applyFill="1" applyBorder="1" applyAlignment="1">
      <alignment horizontal="center" vertical="center"/>
    </xf>
    <xf numFmtId="0" fontId="43" fillId="17" borderId="171" xfId="0" applyFont="1" applyFill="1" applyBorder="1" applyAlignment="1">
      <alignment horizontal="center" vertical="center"/>
    </xf>
    <xf numFmtId="0" fontId="43" fillId="17" borderId="172" xfId="0" applyFont="1" applyFill="1" applyBorder="1" applyAlignment="1">
      <alignment horizontal="center" vertical="center"/>
    </xf>
    <xf numFmtId="0" fontId="43" fillId="17" borderId="173" xfId="0" applyFont="1" applyFill="1" applyBorder="1" applyAlignment="1">
      <alignment horizontal="center" vertical="center"/>
    </xf>
    <xf numFmtId="0" fontId="43" fillId="17" borderId="174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25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165" fontId="64" fillId="0" borderId="122" xfId="5" applyNumberFormat="1" applyFont="1" applyBorder="1"/>
    <xf numFmtId="165" fontId="64" fillId="0" borderId="18" xfId="5" applyNumberFormat="1" applyFont="1" applyBorder="1"/>
    <xf numFmtId="165" fontId="58" fillId="22" borderId="22" xfId="5" applyNumberFormat="1" applyFont="1" applyFill="1" applyBorder="1" applyAlignment="1">
      <alignment horizontal="center"/>
    </xf>
    <xf numFmtId="165" fontId="64" fillId="21" borderId="86" xfId="5" applyNumberFormat="1" applyFont="1" applyFill="1" applyBorder="1" applyAlignment="1">
      <alignment horizontal="center"/>
    </xf>
    <xf numFmtId="165" fontId="63" fillId="19" borderId="22" xfId="5" applyNumberFormat="1" applyFont="1" applyFill="1" applyBorder="1" applyAlignment="1">
      <alignment horizontal="center"/>
    </xf>
    <xf numFmtId="165" fontId="64" fillId="22" borderId="22" xfId="5" applyNumberFormat="1" applyFont="1" applyFill="1" applyBorder="1"/>
    <xf numFmtId="165" fontId="64" fillId="22" borderId="125" xfId="5" applyNumberFormat="1" applyFont="1" applyFill="1" applyBorder="1"/>
    <xf numFmtId="165" fontId="35" fillId="0" borderId="18" xfId="5" applyNumberFormat="1" applyFont="1" applyBorder="1"/>
    <xf numFmtId="165" fontId="35" fillId="0" borderId="23" xfId="5" applyNumberFormat="1" applyFont="1" applyBorder="1"/>
    <xf numFmtId="0" fontId="38" fillId="12" borderId="0" xfId="0" applyFont="1" applyFill="1" applyAlignment="1">
      <alignment vertical="center" wrapText="1"/>
    </xf>
    <xf numFmtId="0" fontId="70" fillId="0" borderId="0" xfId="0" applyFont="1"/>
    <xf numFmtId="0" fontId="71" fillId="0" borderId="0" xfId="0" applyFont="1"/>
    <xf numFmtId="8" fontId="40" fillId="17" borderId="166" xfId="7" applyNumberFormat="1" applyFont="1" applyFill="1" applyBorder="1" applyAlignment="1">
      <alignment horizontal="center" vertical="center"/>
    </xf>
    <xf numFmtId="0" fontId="11" fillId="0" borderId="89" xfId="0" applyFont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wrapText="1"/>
    </xf>
    <xf numFmtId="0" fontId="0" fillId="17" borderId="22" xfId="0" applyFill="1" applyBorder="1" applyAlignment="1">
      <alignment horizontal="center" wrapText="1"/>
    </xf>
    <xf numFmtId="170" fontId="0" fillId="17" borderId="60" xfId="0" applyNumberFormat="1" applyFill="1" applyBorder="1"/>
    <xf numFmtId="170" fontId="0" fillId="17" borderId="22" xfId="0" applyNumberFormat="1" applyFill="1" applyBorder="1"/>
    <xf numFmtId="49" fontId="0" fillId="0" borderId="0" xfId="0" applyNumberFormat="1"/>
    <xf numFmtId="0" fontId="50" fillId="0" borderId="0" xfId="0" applyFont="1"/>
    <xf numFmtId="0" fontId="0" fillId="18" borderId="0" xfId="0" applyFill="1" applyAlignment="1">
      <alignment horizontal="left" vertical="center" wrapText="1"/>
    </xf>
    <xf numFmtId="0" fontId="0" fillId="18" borderId="24" xfId="0" applyFill="1" applyBorder="1" applyAlignment="1">
      <alignment horizontal="center" vertical="center" wrapText="1"/>
    </xf>
    <xf numFmtId="0" fontId="0" fillId="18" borderId="0" xfId="0" applyFill="1" applyAlignment="1">
      <alignment horizontal="center" vertical="center" wrapText="1"/>
    </xf>
    <xf numFmtId="0" fontId="0" fillId="18" borderId="6" xfId="0" applyFill="1" applyBorder="1" applyAlignment="1">
      <alignment horizontal="center" vertical="center" wrapText="1"/>
    </xf>
    <xf numFmtId="170" fontId="17" fillId="5" borderId="84" xfId="5" applyNumberFormat="1" applyFont="1" applyFill="1" applyBorder="1" applyAlignment="1">
      <alignment horizontal="right" vertical="center" wrapText="1"/>
    </xf>
    <xf numFmtId="170" fontId="17" fillId="5" borderId="53" xfId="5" applyNumberFormat="1" applyFont="1" applyFill="1" applyBorder="1" applyAlignment="1">
      <alignment horizontal="right" vertical="center" wrapText="1"/>
    </xf>
    <xf numFmtId="170" fontId="17" fillId="5" borderId="41" xfId="5" applyNumberFormat="1" applyFont="1" applyFill="1" applyBorder="1" applyAlignment="1">
      <alignment horizontal="right" vertical="center" wrapText="1"/>
    </xf>
    <xf numFmtId="170" fontId="17" fillId="5" borderId="17" xfId="5" applyNumberFormat="1" applyFont="1" applyFill="1" applyBorder="1" applyAlignment="1">
      <alignment horizontal="right" vertical="center" wrapText="1"/>
    </xf>
    <xf numFmtId="170" fontId="17" fillId="5" borderId="85" xfId="5" applyNumberFormat="1" applyFont="1" applyFill="1" applyBorder="1" applyAlignment="1">
      <alignment horizontal="right" vertical="center" wrapText="1"/>
    </xf>
    <xf numFmtId="170" fontId="17" fillId="5" borderId="56" xfId="5" applyNumberFormat="1" applyFont="1" applyFill="1" applyBorder="1" applyAlignment="1">
      <alignment horizontal="right" vertical="center" wrapText="1"/>
    </xf>
    <xf numFmtId="170" fontId="10" fillId="4" borderId="72" xfId="2" applyNumberFormat="1" applyBorder="1" applyAlignment="1">
      <alignment horizontal="right" vertical="top" wrapText="1"/>
    </xf>
    <xf numFmtId="170" fontId="10" fillId="4" borderId="73" xfId="2" applyNumberFormat="1" applyBorder="1" applyAlignment="1">
      <alignment horizontal="right" vertical="top" wrapText="1"/>
    </xf>
    <xf numFmtId="170" fontId="10" fillId="4" borderId="143" xfId="2" applyNumberFormat="1" applyBorder="1" applyAlignment="1">
      <alignment horizontal="right" vertical="top" wrapText="1"/>
    </xf>
    <xf numFmtId="170" fontId="10" fillId="4" borderId="74" xfId="2" applyNumberFormat="1" applyBorder="1" applyAlignment="1">
      <alignment horizontal="right" vertical="top" wrapText="1"/>
    </xf>
    <xf numFmtId="170" fontId="10" fillId="4" borderId="14" xfId="2" applyNumberFormat="1" applyBorder="1" applyAlignment="1">
      <alignment horizontal="right" vertical="top" wrapText="1"/>
    </xf>
    <xf numFmtId="170" fontId="17" fillId="5" borderId="84" xfId="3" applyNumberFormat="1" applyFont="1" applyBorder="1" applyAlignment="1">
      <alignment horizontal="right" vertical="top" wrapText="1"/>
    </xf>
    <xf numFmtId="170" fontId="17" fillId="5" borderId="53" xfId="3" applyNumberFormat="1" applyFont="1" applyBorder="1" applyAlignment="1">
      <alignment horizontal="right" vertical="top" wrapText="1"/>
    </xf>
    <xf numFmtId="170" fontId="17" fillId="5" borderId="100" xfId="3" applyNumberFormat="1" applyFont="1" applyBorder="1" applyAlignment="1">
      <alignment horizontal="right" vertical="top" wrapText="1"/>
    </xf>
    <xf numFmtId="170" fontId="17" fillId="5" borderId="54" xfId="3" applyNumberFormat="1" applyFont="1" applyBorder="1" applyAlignment="1">
      <alignment horizontal="right" vertical="top" wrapText="1"/>
    </xf>
    <xf numFmtId="170" fontId="10" fillId="4" borderId="24" xfId="2" applyNumberFormat="1" applyBorder="1" applyAlignment="1">
      <alignment horizontal="right" vertical="top" wrapText="1"/>
    </xf>
    <xf numFmtId="170" fontId="17" fillId="5" borderId="41" xfId="3" applyNumberFormat="1" applyFont="1" applyBorder="1" applyAlignment="1">
      <alignment horizontal="right" vertical="top" wrapText="1"/>
    </xf>
    <xf numFmtId="170" fontId="17" fillId="5" borderId="17" xfId="3" applyNumberFormat="1" applyFont="1" applyAlignment="1">
      <alignment horizontal="right" vertical="top" wrapText="1"/>
    </xf>
    <xf numFmtId="170" fontId="17" fillId="5" borderId="144" xfId="3" applyNumberFormat="1" applyFont="1" applyBorder="1" applyAlignment="1">
      <alignment horizontal="right" vertical="top" wrapText="1"/>
    </xf>
    <xf numFmtId="170" fontId="17" fillId="5" borderId="55" xfId="3" applyNumberFormat="1" applyFont="1" applyBorder="1" applyAlignment="1">
      <alignment horizontal="right" vertical="top" wrapText="1"/>
    </xf>
    <xf numFmtId="170" fontId="17" fillId="5" borderId="85" xfId="3" applyNumberFormat="1" applyFont="1" applyBorder="1" applyAlignment="1">
      <alignment horizontal="right" vertical="top" wrapText="1"/>
    </xf>
    <xf numFmtId="170" fontId="17" fillId="5" borderId="56" xfId="3" applyNumberFormat="1" applyFont="1" applyBorder="1" applyAlignment="1">
      <alignment horizontal="right" vertical="top" wrapText="1"/>
    </xf>
    <xf numFmtId="170" fontId="17" fillId="5" borderId="145" xfId="3" applyNumberFormat="1" applyFont="1" applyBorder="1" applyAlignment="1">
      <alignment horizontal="right" vertical="top" wrapText="1"/>
    </xf>
    <xf numFmtId="170" fontId="17" fillId="5" borderId="57" xfId="3" applyNumberFormat="1" applyFont="1" applyBorder="1" applyAlignment="1">
      <alignment horizontal="right" vertical="top" wrapText="1"/>
    </xf>
    <xf numFmtId="170" fontId="10" fillId="4" borderId="15" xfId="2" applyNumberFormat="1" applyBorder="1" applyAlignment="1">
      <alignment horizontal="right" vertical="top" wrapText="1"/>
    </xf>
    <xf numFmtId="170" fontId="10" fillId="4" borderId="16" xfId="2" applyNumberFormat="1" applyAlignment="1">
      <alignment vertical="top" wrapText="1"/>
    </xf>
    <xf numFmtId="170" fontId="10" fillId="4" borderId="146" xfId="2" applyNumberFormat="1" applyBorder="1" applyAlignment="1">
      <alignment vertical="top" wrapText="1"/>
    </xf>
    <xf numFmtId="170" fontId="10" fillId="4" borderId="37" xfId="2" applyNumberFormat="1" applyBorder="1" applyAlignment="1">
      <alignment vertical="top" wrapText="1"/>
    </xf>
    <xf numFmtId="170" fontId="10" fillId="4" borderId="14" xfId="2" applyNumberFormat="1" applyBorder="1" applyAlignment="1">
      <alignment vertical="top" wrapText="1"/>
    </xf>
    <xf numFmtId="170" fontId="17" fillId="5" borderId="84" xfId="3" applyNumberFormat="1" applyFont="1" applyBorder="1" applyAlignment="1">
      <alignment vertical="top" wrapText="1"/>
    </xf>
    <xf numFmtId="170" fontId="17" fillId="5" borderId="53" xfId="3" applyNumberFormat="1" applyFont="1" applyBorder="1" applyAlignment="1">
      <alignment vertical="top" wrapText="1"/>
    </xf>
    <xf numFmtId="170" fontId="17" fillId="5" borderId="100" xfId="3" applyNumberFormat="1" applyFont="1" applyBorder="1" applyAlignment="1">
      <alignment vertical="top" wrapText="1"/>
    </xf>
    <xf numFmtId="170" fontId="17" fillId="5" borderId="54" xfId="3" applyNumberFormat="1" applyFont="1" applyBorder="1" applyAlignment="1">
      <alignment vertical="top" wrapText="1"/>
    </xf>
    <xf numFmtId="170" fontId="10" fillId="4" borderId="24" xfId="2" applyNumberFormat="1" applyBorder="1" applyAlignment="1">
      <alignment vertical="top" wrapText="1"/>
    </xf>
    <xf numFmtId="170" fontId="17" fillId="5" borderId="41" xfId="3" applyNumberFormat="1" applyFont="1" applyBorder="1" applyAlignment="1">
      <alignment vertical="top" wrapText="1"/>
    </xf>
    <xf numFmtId="170" fontId="17" fillId="5" borderId="17" xfId="3" applyNumberFormat="1" applyFont="1" applyAlignment="1">
      <alignment vertical="top" wrapText="1"/>
    </xf>
    <xf numFmtId="170" fontId="17" fillId="5" borderId="144" xfId="3" applyNumberFormat="1" applyFont="1" applyBorder="1" applyAlignment="1">
      <alignment vertical="top" wrapText="1"/>
    </xf>
    <xf numFmtId="170" fontId="17" fillId="5" borderId="55" xfId="3" applyNumberFormat="1" applyFont="1" applyBorder="1" applyAlignment="1">
      <alignment vertical="top" wrapText="1"/>
    </xf>
    <xf numFmtId="170" fontId="10" fillId="4" borderId="15" xfId="2" applyNumberFormat="1" applyBorder="1" applyAlignment="1">
      <alignment vertical="top" wrapText="1"/>
    </xf>
    <xf numFmtId="170" fontId="17" fillId="5" borderId="85" xfId="3" applyNumberFormat="1" applyFont="1" applyBorder="1" applyAlignment="1">
      <alignment vertical="top" wrapText="1"/>
    </xf>
    <xf numFmtId="170" fontId="17" fillId="5" borderId="56" xfId="3" applyNumberFormat="1" applyFont="1" applyBorder="1" applyAlignment="1">
      <alignment vertical="top" wrapText="1"/>
    </xf>
    <xf numFmtId="170" fontId="17" fillId="5" borderId="145" xfId="3" applyNumberFormat="1" applyFont="1" applyBorder="1" applyAlignment="1">
      <alignment vertical="top" wrapText="1"/>
    </xf>
    <xf numFmtId="170" fontId="17" fillId="5" borderId="57" xfId="3" applyNumberFormat="1" applyFont="1" applyBorder="1" applyAlignment="1">
      <alignment vertical="top" wrapText="1"/>
    </xf>
    <xf numFmtId="170" fontId="10" fillId="4" borderId="95" xfId="2" applyNumberFormat="1" applyBorder="1" applyAlignment="1">
      <alignment horizontal="right" vertical="top" wrapText="1"/>
    </xf>
    <xf numFmtId="170" fontId="10" fillId="4" borderId="52" xfId="2" applyNumberFormat="1" applyBorder="1" applyAlignment="1">
      <alignment horizontal="right" vertical="top" wrapText="1"/>
    </xf>
    <xf numFmtId="170" fontId="10" fillId="4" borderId="106" xfId="2" applyNumberFormat="1" applyBorder="1" applyAlignment="1">
      <alignment horizontal="right" vertical="top" wrapText="1"/>
    </xf>
    <xf numFmtId="170" fontId="10" fillId="4" borderId="42" xfId="2" applyNumberFormat="1" applyBorder="1" applyAlignment="1">
      <alignment horizontal="right" vertical="top" wrapText="1"/>
    </xf>
    <xf numFmtId="170" fontId="10" fillId="4" borderId="47" xfId="2" applyNumberFormat="1" applyBorder="1" applyAlignment="1">
      <alignment vertical="top" wrapText="1"/>
    </xf>
    <xf numFmtId="170" fontId="10" fillId="4" borderId="44" xfId="2" applyNumberFormat="1" applyBorder="1" applyAlignment="1">
      <alignment vertical="top" wrapText="1"/>
    </xf>
    <xf numFmtId="170" fontId="10" fillId="4" borderId="108" xfId="2" applyNumberFormat="1" applyBorder="1" applyAlignment="1">
      <alignment vertical="top" wrapText="1"/>
    </xf>
    <xf numFmtId="170" fontId="10" fillId="4" borderId="45" xfId="2" applyNumberFormat="1" applyBorder="1" applyAlignment="1">
      <alignment vertical="top" wrapText="1"/>
    </xf>
    <xf numFmtId="169" fontId="17" fillId="5" borderId="41" xfId="3" applyNumberFormat="1" applyFont="1" applyBorder="1" applyAlignment="1" applyProtection="1">
      <alignment horizontal="right" vertical="top" wrapText="1"/>
      <protection locked="0"/>
    </xf>
    <xf numFmtId="169" fontId="17" fillId="5" borderId="17" xfId="3" applyNumberFormat="1" applyFont="1" applyAlignment="1" applyProtection="1">
      <alignment horizontal="right" vertical="top" wrapText="1"/>
      <protection locked="0"/>
    </xf>
    <xf numFmtId="169" fontId="17" fillId="5" borderId="104" xfId="3" applyNumberFormat="1" applyFont="1" applyBorder="1" applyAlignment="1" applyProtection="1">
      <alignment horizontal="right" vertical="top" wrapText="1"/>
      <protection locked="0"/>
    </xf>
    <xf numFmtId="169" fontId="17" fillId="5" borderId="101" xfId="3" applyNumberFormat="1" applyFont="1" applyBorder="1" applyAlignment="1" applyProtection="1">
      <alignment horizontal="right" vertical="top" wrapText="1"/>
      <protection locked="0"/>
    </xf>
    <xf numFmtId="0" fontId="0" fillId="17" borderId="38" xfId="0" applyFill="1" applyBorder="1" applyAlignment="1">
      <alignment horizontal="center" wrapText="1"/>
    </xf>
    <xf numFmtId="0" fontId="12" fillId="7" borderId="6" xfId="0" applyFont="1" applyFill="1" applyBorder="1" applyAlignment="1">
      <alignment horizontal="center" vertical="top" wrapText="1"/>
    </xf>
    <xf numFmtId="170" fontId="72" fillId="0" borderId="0" xfId="0" applyNumberFormat="1" applyFont="1"/>
    <xf numFmtId="170" fontId="73" fillId="0" borderId="0" xfId="0" applyNumberFormat="1" applyFont="1"/>
    <xf numFmtId="3" fontId="57" fillId="20" borderId="53" xfId="5" applyNumberFormat="1" applyFont="1" applyFill="1" applyBorder="1" applyAlignment="1">
      <alignment horizontal="center" vertical="center" wrapText="1"/>
    </xf>
    <xf numFmtId="3" fontId="57" fillId="20" borderId="17" xfId="5" applyNumberFormat="1" applyFont="1" applyFill="1" applyBorder="1" applyAlignment="1">
      <alignment horizontal="center" vertical="center" wrapText="1"/>
    </xf>
    <xf numFmtId="3" fontId="57" fillId="20" borderId="56" xfId="5" applyNumberFormat="1" applyFont="1" applyFill="1" applyBorder="1" applyAlignment="1">
      <alignment horizontal="center" vertical="center" wrapText="1"/>
    </xf>
    <xf numFmtId="8" fontId="57" fillId="20" borderId="167" xfId="7" applyNumberFormat="1" applyFont="1" applyFill="1" applyBorder="1" applyAlignment="1">
      <alignment horizontal="center" vertical="center" wrapText="1"/>
    </xf>
    <xf numFmtId="0" fontId="40" fillId="17" borderId="135" xfId="0" applyFont="1" applyFill="1" applyBorder="1" applyAlignment="1">
      <alignment horizontal="left" vertical="center" wrapText="1"/>
    </xf>
    <xf numFmtId="8" fontId="0" fillId="0" borderId="0" xfId="0" applyNumberFormat="1"/>
    <xf numFmtId="0" fontId="40" fillId="17" borderId="134" xfId="0" applyFont="1" applyFill="1" applyBorder="1" applyAlignment="1">
      <alignment horizontal="left" vertical="center"/>
    </xf>
    <xf numFmtId="0" fontId="40" fillId="17" borderId="134" xfId="0" applyFont="1" applyFill="1" applyBorder="1" applyAlignment="1">
      <alignment horizontal="center" vertical="center"/>
    </xf>
    <xf numFmtId="44" fontId="40" fillId="17" borderId="134" xfId="7" applyFont="1" applyFill="1" applyBorder="1" applyAlignment="1">
      <alignment horizontal="center" vertical="center"/>
    </xf>
    <xf numFmtId="44" fontId="57" fillId="20" borderId="178" xfId="7" applyFont="1" applyFill="1" applyBorder="1" applyAlignment="1">
      <alignment horizontal="center" vertical="center" wrapText="1"/>
    </xf>
    <xf numFmtId="44" fontId="40" fillId="17" borderId="179" xfId="7" applyFont="1" applyFill="1" applyBorder="1" applyAlignment="1">
      <alignment horizontal="left" vertical="center"/>
    </xf>
    <xf numFmtId="172" fontId="56" fillId="0" borderId="0" xfId="0" applyNumberFormat="1" applyFont="1"/>
    <xf numFmtId="166" fontId="0" fillId="0" borderId="0" xfId="0" applyNumberFormat="1"/>
    <xf numFmtId="0" fontId="38" fillId="12" borderId="80" xfId="0" applyFont="1" applyFill="1" applyBorder="1" applyAlignment="1">
      <alignment horizontal="center" vertical="center" wrapText="1"/>
    </xf>
    <xf numFmtId="0" fontId="38" fillId="12" borderId="9" xfId="0" applyFont="1" applyFill="1" applyBorder="1" applyAlignment="1">
      <alignment horizontal="center" vertical="center" wrapText="1"/>
    </xf>
    <xf numFmtId="0" fontId="39" fillId="17" borderId="135" xfId="0" applyFont="1" applyFill="1" applyBorder="1" applyAlignment="1">
      <alignment vertical="center" wrapText="1"/>
    </xf>
    <xf numFmtId="0" fontId="43" fillId="17" borderId="180" xfId="0" applyFont="1" applyFill="1" applyBorder="1" applyAlignment="1">
      <alignment horizontal="center" vertical="center"/>
    </xf>
    <xf numFmtId="0" fontId="43" fillId="17" borderId="181" xfId="0" applyFont="1" applyFill="1" applyBorder="1" applyAlignment="1">
      <alignment horizontal="center" vertical="center"/>
    </xf>
    <xf numFmtId="0" fontId="43" fillId="17" borderId="182" xfId="0" applyFont="1" applyFill="1" applyBorder="1" applyAlignment="1">
      <alignment horizontal="center" vertical="center"/>
    </xf>
    <xf numFmtId="0" fontId="37" fillId="17" borderId="183" xfId="3" applyFont="1" applyFill="1" applyBorder="1" applyAlignment="1">
      <alignment horizontal="center"/>
    </xf>
    <xf numFmtId="0" fontId="39" fillId="17" borderId="185" xfId="0" applyFont="1" applyFill="1" applyBorder="1" applyAlignment="1">
      <alignment vertical="center"/>
    </xf>
    <xf numFmtId="0" fontId="39" fillId="17" borderId="185" xfId="0" applyFont="1" applyFill="1" applyBorder="1" applyAlignment="1">
      <alignment vertical="center" wrapText="1"/>
    </xf>
    <xf numFmtId="0" fontId="43" fillId="17" borderId="24" xfId="0" applyFont="1" applyFill="1" applyBorder="1" applyAlignment="1">
      <alignment horizontal="center" vertical="center"/>
    </xf>
    <xf numFmtId="0" fontId="43" fillId="17" borderId="0" xfId="0" applyFont="1" applyFill="1" applyAlignment="1">
      <alignment horizontal="center" vertical="center"/>
    </xf>
    <xf numFmtId="0" fontId="43" fillId="17" borderId="6" xfId="0" applyFont="1" applyFill="1" applyBorder="1" applyAlignment="1">
      <alignment horizontal="center" vertical="center"/>
    </xf>
    <xf numFmtId="0" fontId="43" fillId="17" borderId="186" xfId="0" applyFont="1" applyFill="1" applyBorder="1" applyAlignment="1">
      <alignment horizontal="center" vertical="center"/>
    </xf>
    <xf numFmtId="0" fontId="43" fillId="17" borderId="187" xfId="0" applyFont="1" applyFill="1" applyBorder="1" applyAlignment="1">
      <alignment horizontal="center" vertical="center"/>
    </xf>
    <xf numFmtId="0" fontId="43" fillId="17" borderId="188" xfId="0" applyFont="1" applyFill="1" applyBorder="1" applyAlignment="1">
      <alignment horizontal="center" vertical="center"/>
    </xf>
    <xf numFmtId="0" fontId="37" fillId="17" borderId="189" xfId="0" applyFont="1" applyFill="1" applyBorder="1" applyAlignment="1">
      <alignment horizontal="center" vertical="center"/>
    </xf>
    <xf numFmtId="0" fontId="37" fillId="17" borderId="190" xfId="0" applyFont="1" applyFill="1" applyBorder="1" applyAlignment="1">
      <alignment horizontal="center" vertical="center"/>
    </xf>
    <xf numFmtId="0" fontId="37" fillId="17" borderId="8" xfId="3" applyFont="1" applyFill="1" applyBorder="1" applyAlignment="1">
      <alignment horizontal="center"/>
    </xf>
    <xf numFmtId="0" fontId="39" fillId="17" borderId="184" xfId="0" applyFont="1" applyFill="1" applyBorder="1" applyAlignment="1">
      <alignment vertical="center"/>
    </xf>
    <xf numFmtId="0" fontId="39" fillId="17" borderId="184" xfId="0" applyFont="1" applyFill="1" applyBorder="1" applyAlignment="1">
      <alignment vertical="center" wrapText="1"/>
    </xf>
    <xf numFmtId="0" fontId="43" fillId="17" borderId="191" xfId="0" applyFont="1" applyFill="1" applyBorder="1" applyAlignment="1">
      <alignment horizontal="center" vertical="center"/>
    </xf>
    <xf numFmtId="0" fontId="43" fillId="17" borderId="192" xfId="0" applyFont="1" applyFill="1" applyBorder="1" applyAlignment="1">
      <alignment horizontal="center" vertical="center"/>
    </xf>
    <xf numFmtId="0" fontId="43" fillId="17" borderId="193" xfId="0" applyFont="1" applyFill="1" applyBorder="1" applyAlignment="1">
      <alignment horizontal="center" vertical="center"/>
    </xf>
    <xf numFmtId="0" fontId="37" fillId="17" borderId="194" xfId="0" applyFont="1" applyFill="1" applyBorder="1" applyAlignment="1">
      <alignment horizontal="center" vertical="center"/>
    </xf>
    <xf numFmtId="0" fontId="37" fillId="17" borderId="195" xfId="0" applyFont="1" applyFill="1" applyBorder="1" applyAlignment="1">
      <alignment horizontal="center" vertical="center"/>
    </xf>
    <xf numFmtId="0" fontId="37" fillId="17" borderId="80" xfId="3" applyFont="1" applyFill="1" applyBorder="1" applyAlignment="1">
      <alignment horizontal="center"/>
    </xf>
    <xf numFmtId="0" fontId="39" fillId="17" borderId="166" xfId="0" applyFont="1" applyFill="1" applyBorder="1" applyAlignment="1">
      <alignment vertical="center"/>
    </xf>
    <xf numFmtId="0" fontId="39" fillId="17" borderId="166" xfId="0" applyFont="1" applyFill="1" applyBorder="1" applyAlignment="1">
      <alignment vertical="center" wrapText="1"/>
    </xf>
    <xf numFmtId="0" fontId="37" fillId="17" borderId="196" xfId="0" applyFont="1" applyFill="1" applyBorder="1" applyAlignment="1">
      <alignment horizontal="center" vertical="center"/>
    </xf>
    <xf numFmtId="0" fontId="37" fillId="17" borderId="197" xfId="0" applyFont="1" applyFill="1" applyBorder="1" applyAlignment="1">
      <alignment horizontal="center" vertical="center"/>
    </xf>
    <xf numFmtId="0" fontId="39" fillId="17" borderId="134" xfId="0" applyFont="1" applyFill="1" applyBorder="1" applyAlignment="1">
      <alignment vertical="center" wrapText="1"/>
    </xf>
    <xf numFmtId="0" fontId="43" fillId="17" borderId="198" xfId="0" applyFont="1" applyFill="1" applyBorder="1" applyAlignment="1">
      <alignment horizontal="center" vertical="center"/>
    </xf>
    <xf numFmtId="0" fontId="43" fillId="17" borderId="199" xfId="0" applyFont="1" applyFill="1" applyBorder="1" applyAlignment="1">
      <alignment horizontal="center" vertical="center"/>
    </xf>
    <xf numFmtId="0" fontId="43" fillId="17" borderId="200" xfId="0" applyFont="1" applyFill="1" applyBorder="1" applyAlignment="1">
      <alignment horizontal="center" vertical="center"/>
    </xf>
    <xf numFmtId="0" fontId="43" fillId="17" borderId="201" xfId="0" applyFont="1" applyFill="1" applyBorder="1" applyAlignment="1">
      <alignment horizontal="center" vertical="center"/>
    </xf>
    <xf numFmtId="0" fontId="43" fillId="17" borderId="202" xfId="0" applyFont="1" applyFill="1" applyBorder="1" applyAlignment="1">
      <alignment horizontal="center" vertical="center"/>
    </xf>
    <xf numFmtId="0" fontId="43" fillId="17" borderId="203" xfId="0" applyFont="1" applyFill="1" applyBorder="1" applyAlignment="1">
      <alignment horizontal="center" vertical="center"/>
    </xf>
    <xf numFmtId="0" fontId="37" fillId="17" borderId="204" xfId="3" applyFont="1" applyFill="1" applyBorder="1" applyAlignment="1">
      <alignment horizontal="center"/>
    </xf>
    <xf numFmtId="170" fontId="0" fillId="0" borderId="0" xfId="0" applyNumberFormat="1"/>
    <xf numFmtId="170" fontId="0" fillId="0" borderId="22" xfId="0" applyNumberFormat="1" applyBorder="1"/>
    <xf numFmtId="0" fontId="0" fillId="0" borderId="22" xfId="0" applyBorder="1"/>
    <xf numFmtId="170" fontId="11" fillId="0" borderId="22" xfId="0" applyNumberFormat="1" applyFont="1" applyBorder="1"/>
    <xf numFmtId="0" fontId="0" fillId="0" borderId="22" xfId="0" applyBorder="1" applyAlignment="1">
      <alignment horizontal="center"/>
    </xf>
    <xf numFmtId="170" fontId="11" fillId="0" borderId="22" xfId="0" applyNumberFormat="1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0" fillId="0" borderId="86" xfId="0" applyBorder="1"/>
    <xf numFmtId="170" fontId="0" fillId="0" borderId="86" xfId="0" applyNumberFormat="1" applyBorder="1"/>
    <xf numFmtId="0" fontId="0" fillId="0" borderId="86" xfId="0" applyBorder="1" applyAlignment="1">
      <alignment horizontal="center"/>
    </xf>
    <xf numFmtId="0" fontId="0" fillId="0" borderId="126" xfId="0" applyBorder="1"/>
    <xf numFmtId="170" fontId="0" fillId="0" borderId="126" xfId="0" applyNumberFormat="1" applyBorder="1"/>
    <xf numFmtId="0" fontId="0" fillId="0" borderId="126" xfId="0" applyBorder="1" applyAlignment="1">
      <alignment horizontal="center"/>
    </xf>
    <xf numFmtId="0" fontId="0" fillId="0" borderId="114" xfId="0" applyBorder="1"/>
    <xf numFmtId="170" fontId="0" fillId="0" borderId="114" xfId="0" applyNumberFormat="1" applyBorder="1"/>
    <xf numFmtId="0" fontId="0" fillId="0" borderId="114" xfId="0" applyBorder="1" applyAlignment="1">
      <alignment horizontal="center"/>
    </xf>
    <xf numFmtId="0" fontId="0" fillId="0" borderId="116" xfId="0" applyBorder="1"/>
    <xf numFmtId="170" fontId="0" fillId="0" borderId="122" xfId="0" applyNumberFormat="1" applyBorder="1"/>
    <xf numFmtId="0" fontId="0" fillId="0" borderId="18" xfId="0" applyBorder="1" applyAlignment="1">
      <alignment horizontal="center"/>
    </xf>
    <xf numFmtId="0" fontId="11" fillId="0" borderId="22" xfId="0" applyFont="1" applyBorder="1" applyAlignment="1">
      <alignment horizontal="right" wrapText="1"/>
    </xf>
    <xf numFmtId="170" fontId="0" fillId="0" borderId="22" xfId="0" applyNumberFormat="1" applyBorder="1" applyAlignment="1">
      <alignment horizontal="right" wrapText="1"/>
    </xf>
    <xf numFmtId="0" fontId="0" fillId="0" borderId="0" xfId="0" applyAlignment="1">
      <alignment horizontal="center" vertical="center" wrapText="1"/>
    </xf>
    <xf numFmtId="0" fontId="71" fillId="0" borderId="0" xfId="0" applyFont="1" applyAlignment="1">
      <alignment horizontal="right"/>
    </xf>
    <xf numFmtId="0" fontId="36" fillId="9" borderId="69" xfId="0" applyFont="1" applyFill="1" applyBorder="1" applyAlignment="1">
      <alignment horizontal="left" vertical="center" wrapText="1"/>
    </xf>
    <xf numFmtId="0" fontId="35" fillId="0" borderId="149" xfId="0" applyFont="1" applyBorder="1" applyAlignment="1">
      <alignment horizontal="center" vertical="center" wrapText="1"/>
    </xf>
    <xf numFmtId="0" fontId="35" fillId="0" borderId="150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17" borderId="147" xfId="0" applyFill="1" applyBorder="1" applyAlignment="1">
      <alignment horizontal="left" vertical="center" wrapText="1"/>
    </xf>
    <xf numFmtId="4" fontId="0" fillId="17" borderId="124" xfId="0" applyNumberFormat="1" applyFill="1" applyBorder="1" applyAlignment="1">
      <alignment horizontal="right" vertical="center" indent="2"/>
    </xf>
    <xf numFmtId="4" fontId="0" fillId="17" borderId="113" xfId="0" applyNumberFormat="1" applyFill="1" applyBorder="1" applyAlignment="1">
      <alignment horizontal="right" vertical="center" indent="2"/>
    </xf>
    <xf numFmtId="4" fontId="0" fillId="17" borderId="22" xfId="0" applyNumberFormat="1" applyFill="1" applyBorder="1" applyAlignment="1">
      <alignment horizontal="right" vertical="center" indent="2"/>
    </xf>
    <xf numFmtId="4" fontId="0" fillId="17" borderId="34" xfId="0" applyNumberFormat="1" applyFill="1" applyBorder="1" applyAlignment="1">
      <alignment horizontal="right" vertical="center" indent="2"/>
    </xf>
    <xf numFmtId="0" fontId="11" fillId="0" borderId="8" xfId="0" applyFont="1" applyBorder="1" applyAlignment="1">
      <alignment horizontal="center" vertical="center" wrapText="1"/>
    </xf>
    <xf numFmtId="0" fontId="0" fillId="17" borderId="8" xfId="0" applyFill="1" applyBorder="1" applyAlignment="1">
      <alignment vertical="center" wrapText="1"/>
    </xf>
    <xf numFmtId="0" fontId="11" fillId="0" borderId="154" xfId="0" applyFont="1" applyBorder="1" applyAlignment="1">
      <alignment horizontal="center" vertical="center" wrapText="1"/>
    </xf>
    <xf numFmtId="0" fontId="11" fillId="17" borderId="147" xfId="0" applyFont="1" applyFill="1" applyBorder="1" applyAlignment="1">
      <alignment horizontal="left" vertical="center" wrapText="1"/>
    </xf>
    <xf numFmtId="0" fontId="50" fillId="0" borderId="0" xfId="0" applyFont="1" applyAlignment="1">
      <alignment horizontal="center"/>
    </xf>
    <xf numFmtId="0" fontId="35" fillId="0" borderId="31" xfId="0" applyFont="1" applyBorder="1" applyAlignment="1">
      <alignment horizontal="center" vertical="center" wrapText="1"/>
    </xf>
    <xf numFmtId="4" fontId="0" fillId="17" borderId="60" xfId="0" applyNumberFormat="1" applyFill="1" applyBorder="1" applyAlignment="1">
      <alignment horizontal="right" vertical="center" indent="2"/>
    </xf>
    <xf numFmtId="4" fontId="0" fillId="17" borderId="115" xfId="0" applyNumberFormat="1" applyFill="1" applyBorder="1" applyAlignment="1">
      <alignment horizontal="right" vertical="center" indent="2"/>
    </xf>
    <xf numFmtId="3" fontId="0" fillId="17" borderId="60" xfId="0" applyNumberFormat="1" applyFill="1" applyBorder="1" applyAlignment="1">
      <alignment horizontal="right" vertical="center" indent="2"/>
    </xf>
    <xf numFmtId="3" fontId="0" fillId="17" borderId="22" xfId="0" applyNumberFormat="1" applyFill="1" applyBorder="1" applyAlignment="1">
      <alignment horizontal="right" vertical="center" indent="2"/>
    </xf>
    <xf numFmtId="4" fontId="0" fillId="17" borderId="119" xfId="0" applyNumberFormat="1" applyFill="1" applyBorder="1" applyAlignment="1">
      <alignment horizontal="right" vertical="center" indent="2"/>
    </xf>
    <xf numFmtId="0" fontId="11" fillId="0" borderId="80" xfId="0" applyFont="1" applyBorder="1" applyAlignment="1">
      <alignment horizontal="center" vertical="center" wrapText="1"/>
    </xf>
    <xf numFmtId="0" fontId="0" fillId="17" borderId="147" xfId="0" applyFill="1" applyBorder="1"/>
    <xf numFmtId="0" fontId="0" fillId="0" borderId="154" xfId="0" applyBorder="1" applyAlignment="1">
      <alignment horizontal="center" vertical="center" wrapText="1"/>
    </xf>
    <xf numFmtId="4" fontId="0" fillId="17" borderId="86" xfId="0" applyNumberFormat="1" applyFill="1" applyBorder="1" applyAlignment="1">
      <alignment horizontal="right" vertical="center" indent="2"/>
    </xf>
    <xf numFmtId="3" fontId="0" fillId="17" borderId="86" xfId="0" applyNumberFormat="1" applyFill="1" applyBorder="1" applyAlignment="1">
      <alignment horizontal="right" vertical="center" indent="2"/>
    </xf>
    <xf numFmtId="0" fontId="0" fillId="17" borderId="154" xfId="0" applyFill="1" applyBorder="1" applyAlignment="1">
      <alignment horizontal="left" vertical="center" wrapText="1"/>
    </xf>
    <xf numFmtId="0" fontId="0" fillId="17" borderId="154" xfId="0" applyFill="1" applyBorder="1"/>
    <xf numFmtId="0" fontId="0" fillId="17" borderId="206" xfId="0" applyFill="1" applyBorder="1" applyAlignment="1">
      <alignment horizontal="center"/>
    </xf>
    <xf numFmtId="0" fontId="0" fillId="17" borderId="86" xfId="0" applyFill="1" applyBorder="1" applyAlignment="1">
      <alignment horizontal="center"/>
    </xf>
    <xf numFmtId="0" fontId="50" fillId="0" borderId="9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10" fontId="0" fillId="0" borderId="0" xfId="0" applyNumberFormat="1" applyAlignment="1">
      <alignment horizontal="right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11" fillId="17" borderId="80" xfId="0" applyFont="1" applyFill="1" applyBorder="1" applyAlignment="1">
      <alignment vertical="center" wrapText="1"/>
    </xf>
    <xf numFmtId="0" fontId="11" fillId="17" borderId="89" xfId="0" applyFont="1" applyFill="1" applyBorder="1" applyAlignment="1">
      <alignment horizontal="left" vertical="center" wrapText="1"/>
    </xf>
    <xf numFmtId="0" fontId="74" fillId="0" borderId="0" xfId="0" applyFont="1"/>
    <xf numFmtId="9" fontId="0" fillId="17" borderId="124" xfId="4" applyFont="1" applyFill="1" applyBorder="1" applyAlignment="1">
      <alignment horizontal="right" vertical="center" indent="2"/>
    </xf>
    <xf numFmtId="0" fontId="35" fillId="0" borderId="75" xfId="0" applyFont="1" applyBorder="1" applyAlignment="1">
      <alignment horizontal="center" vertical="center" wrapText="1"/>
    </xf>
    <xf numFmtId="3" fontId="0" fillId="17" borderId="61" xfId="0" applyNumberFormat="1" applyFill="1" applyBorder="1" applyAlignment="1">
      <alignment horizontal="right" vertical="center" indent="2"/>
    </xf>
    <xf numFmtId="3" fontId="0" fillId="17" borderId="38" xfId="0" applyNumberFormat="1" applyFill="1" applyBorder="1" applyAlignment="1">
      <alignment horizontal="right" vertical="center" indent="2"/>
    </xf>
    <xf numFmtId="3" fontId="0" fillId="17" borderId="207" xfId="0" applyNumberFormat="1" applyFill="1" applyBorder="1" applyAlignment="1">
      <alignment horizontal="right" vertical="center" indent="2"/>
    </xf>
    <xf numFmtId="3" fontId="0" fillId="17" borderId="39" xfId="0" applyNumberFormat="1" applyFill="1" applyBorder="1" applyAlignment="1">
      <alignment horizontal="right" vertical="center" indent="2"/>
    </xf>
    <xf numFmtId="0" fontId="0" fillId="0" borderId="0" xfId="0" applyAlignment="1">
      <alignment horizontal="right" indent="2"/>
    </xf>
    <xf numFmtId="170" fontId="0" fillId="0" borderId="0" xfId="0" applyNumberFormat="1" applyAlignment="1">
      <alignment horizontal="center"/>
    </xf>
    <xf numFmtId="0" fontId="11" fillId="0" borderId="0" xfId="0" applyFont="1" applyAlignment="1">
      <alignment horizontal="center"/>
    </xf>
    <xf numFmtId="0" fontId="75" fillId="0" borderId="0" xfId="0" applyFont="1"/>
    <xf numFmtId="0" fontId="75" fillId="0" borderId="0" xfId="0" applyFont="1" applyAlignment="1">
      <alignment horizontal="right"/>
    </xf>
    <xf numFmtId="9" fontId="75" fillId="0" borderId="22" xfId="0" applyNumberFormat="1" applyFont="1" applyBorder="1"/>
    <xf numFmtId="10" fontId="75" fillId="0" borderId="0" xfId="4" applyNumberFormat="1" applyFont="1" applyAlignment="1">
      <alignment horizontal="left" vertical="top" wrapText="1"/>
    </xf>
    <xf numFmtId="9" fontId="75" fillId="0" borderId="22" xfId="4" applyFont="1" applyBorder="1" applyAlignment="1">
      <alignment horizontal="right" indent="2"/>
    </xf>
    <xf numFmtId="4" fontId="0" fillId="17" borderId="20" xfId="0" applyNumberFormat="1" applyFill="1" applyBorder="1" applyAlignment="1">
      <alignment horizontal="right" vertical="center" indent="2"/>
    </xf>
    <xf numFmtId="3" fontId="0" fillId="17" borderId="40" xfId="0" applyNumberFormat="1" applyFill="1" applyBorder="1" applyAlignment="1">
      <alignment horizontal="right" vertical="center" indent="2"/>
    </xf>
    <xf numFmtId="0" fontId="29" fillId="0" borderId="149" xfId="0" applyFont="1" applyBorder="1" applyAlignment="1">
      <alignment horizontal="center" vertical="center" wrapText="1"/>
    </xf>
    <xf numFmtId="0" fontId="35" fillId="0" borderId="151" xfId="0" applyFont="1" applyBorder="1" applyAlignment="1">
      <alignment vertical="center" wrapText="1"/>
    </xf>
    <xf numFmtId="4" fontId="0" fillId="17" borderId="60" xfId="0" applyNumberFormat="1" applyFill="1" applyBorder="1" applyAlignment="1">
      <alignment horizontal="center" vertical="center"/>
    </xf>
    <xf numFmtId="0" fontId="0" fillId="17" borderId="126" xfId="0" applyFill="1" applyBorder="1" applyAlignment="1">
      <alignment horizontal="center"/>
    </xf>
    <xf numFmtId="9" fontId="50" fillId="17" borderId="32" xfId="0" applyNumberFormat="1" applyFont="1" applyFill="1" applyBorder="1" applyAlignment="1">
      <alignment horizontal="center"/>
    </xf>
    <xf numFmtId="0" fontId="50" fillId="17" borderId="32" xfId="0" applyFont="1" applyFill="1" applyBorder="1" applyAlignment="1">
      <alignment horizontal="center"/>
    </xf>
    <xf numFmtId="0" fontId="50" fillId="17" borderId="208" xfId="0" applyFont="1" applyFill="1" applyBorder="1" applyAlignment="1">
      <alignment horizontal="center"/>
    </xf>
    <xf numFmtId="0" fontId="50" fillId="0" borderId="0" xfId="0" applyFont="1" applyAlignment="1">
      <alignment vertical="center" wrapText="1"/>
    </xf>
    <xf numFmtId="3" fontId="11" fillId="17" borderId="60" xfId="0" applyNumberFormat="1" applyFont="1" applyFill="1" applyBorder="1" applyAlignment="1">
      <alignment horizontal="right" vertical="center" indent="2"/>
    </xf>
    <xf numFmtId="4" fontId="0" fillId="17" borderId="206" xfId="0" applyNumberFormat="1" applyFill="1" applyBorder="1" applyAlignment="1">
      <alignment horizontal="right" vertical="center" indent="2"/>
    </xf>
    <xf numFmtId="9" fontId="0" fillId="17" borderId="209" xfId="4" applyFont="1" applyFill="1" applyBorder="1" applyAlignment="1">
      <alignment horizontal="right" vertical="center" indent="2"/>
    </xf>
    <xf numFmtId="3" fontId="0" fillId="17" borderId="126" xfId="4" applyNumberFormat="1" applyFont="1" applyFill="1" applyBorder="1" applyAlignment="1">
      <alignment horizontal="right" vertical="center" indent="2"/>
    </xf>
    <xf numFmtId="3" fontId="0" fillId="17" borderId="40" xfId="4" applyNumberFormat="1" applyFont="1" applyFill="1" applyBorder="1" applyAlignment="1">
      <alignment horizontal="right" vertical="center" indent="2"/>
    </xf>
    <xf numFmtId="9" fontId="0" fillId="17" borderId="126" xfId="4" applyFont="1" applyFill="1" applyBorder="1" applyAlignment="1">
      <alignment horizontal="right" vertical="center" indent="2"/>
    </xf>
    <xf numFmtId="4" fontId="0" fillId="17" borderId="210" xfId="4" applyNumberFormat="1" applyFont="1" applyFill="1" applyBorder="1" applyAlignment="1">
      <alignment horizontal="right" vertical="center" indent="2"/>
    </xf>
    <xf numFmtId="4" fontId="0" fillId="17" borderId="114" xfId="4" applyNumberFormat="1" applyFont="1" applyFill="1" applyBorder="1" applyAlignment="1">
      <alignment horizontal="right" vertical="center" indent="2"/>
    </xf>
    <xf numFmtId="3" fontId="0" fillId="17" borderId="114" xfId="4" applyNumberFormat="1" applyFont="1" applyFill="1" applyBorder="1" applyAlignment="1">
      <alignment horizontal="right" vertical="center" indent="2"/>
    </xf>
    <xf numFmtId="3" fontId="0" fillId="17" borderId="207" xfId="4" applyNumberFormat="1" applyFont="1" applyFill="1" applyBorder="1" applyAlignment="1">
      <alignment horizontal="right" vertical="center" indent="2"/>
    </xf>
    <xf numFmtId="0" fontId="0" fillId="17" borderId="209" xfId="0" applyFill="1" applyBorder="1" applyAlignment="1">
      <alignment horizontal="center"/>
    </xf>
    <xf numFmtId="9" fontId="50" fillId="17" borderId="27" xfId="0" applyNumberFormat="1" applyFont="1" applyFill="1" applyBorder="1" applyAlignment="1">
      <alignment horizontal="center"/>
    </xf>
    <xf numFmtId="0" fontId="50" fillId="0" borderId="80" xfId="0" applyFont="1" applyBorder="1" applyAlignment="1">
      <alignment horizontal="center" vertical="center" wrapText="1"/>
    </xf>
    <xf numFmtId="9" fontId="50" fillId="17" borderId="20" xfId="0" applyNumberFormat="1" applyFont="1" applyFill="1" applyBorder="1" applyAlignment="1">
      <alignment horizontal="center"/>
    </xf>
    <xf numFmtId="0" fontId="50" fillId="17" borderId="154" xfId="0" applyFont="1" applyFill="1" applyBorder="1"/>
    <xf numFmtId="9" fontId="50" fillId="17" borderId="209" xfId="0" applyNumberFormat="1" applyFont="1" applyFill="1" applyBorder="1" applyAlignment="1">
      <alignment horizontal="center"/>
    </xf>
    <xf numFmtId="9" fontId="50" fillId="17" borderId="126" xfId="0" applyNumberFormat="1" applyFont="1" applyFill="1" applyBorder="1" applyAlignment="1">
      <alignment horizontal="center"/>
    </xf>
    <xf numFmtId="0" fontId="35" fillId="0" borderId="35" xfId="0" applyFont="1" applyBorder="1" applyAlignment="1">
      <alignment horizontal="center" vertical="center" wrapText="1"/>
    </xf>
    <xf numFmtId="4" fontId="0" fillId="17" borderId="205" xfId="0" applyNumberFormat="1" applyFill="1" applyBorder="1" applyAlignment="1">
      <alignment horizontal="right" vertical="center" indent="2"/>
    </xf>
    <xf numFmtId="9" fontId="0" fillId="17" borderId="60" xfId="0" applyNumberFormat="1" applyFill="1" applyBorder="1" applyAlignment="1">
      <alignment horizontal="right" vertical="center"/>
    </xf>
    <xf numFmtId="9" fontId="0" fillId="17" borderId="22" xfId="0" applyNumberFormat="1" applyFill="1" applyBorder="1" applyAlignment="1">
      <alignment horizontal="right" vertical="center"/>
    </xf>
    <xf numFmtId="4" fontId="0" fillId="17" borderId="59" xfId="0" applyNumberFormat="1" applyFill="1" applyBorder="1" applyAlignment="1">
      <alignment horizontal="right" vertical="center" indent="2"/>
    </xf>
    <xf numFmtId="175" fontId="0" fillId="17" borderId="22" xfId="0" applyNumberFormat="1" applyFill="1" applyBorder="1" applyAlignment="1">
      <alignment horizontal="right" vertical="center" indent="2"/>
    </xf>
    <xf numFmtId="175" fontId="0" fillId="17" borderId="38" xfId="0" applyNumberFormat="1" applyFill="1" applyBorder="1" applyAlignment="1">
      <alignment horizontal="right" vertical="center" indent="2"/>
    </xf>
    <xf numFmtId="175" fontId="0" fillId="17" borderId="126" xfId="0" applyNumberFormat="1" applyFill="1" applyBorder="1" applyAlignment="1">
      <alignment horizontal="center"/>
    </xf>
    <xf numFmtId="175" fontId="0" fillId="17" borderId="40" xfId="0" applyNumberFormat="1" applyFill="1" applyBorder="1" applyAlignment="1">
      <alignment horizontal="center"/>
    </xf>
    <xf numFmtId="175" fontId="0" fillId="17" borderId="86" xfId="0" applyNumberFormat="1" applyFill="1" applyBorder="1" applyAlignment="1">
      <alignment horizontal="right" vertical="center" indent="2"/>
    </xf>
    <xf numFmtId="175" fontId="50" fillId="17" borderId="126" xfId="0" applyNumberFormat="1" applyFont="1" applyFill="1" applyBorder="1" applyAlignment="1">
      <alignment horizontal="center"/>
    </xf>
    <xf numFmtId="175" fontId="50" fillId="17" borderId="40" xfId="0" applyNumberFormat="1" applyFont="1" applyFill="1" applyBorder="1" applyAlignment="1">
      <alignment horizontal="center"/>
    </xf>
    <xf numFmtId="175" fontId="0" fillId="17" borderId="124" xfId="0" applyNumberFormat="1" applyFill="1" applyBorder="1" applyAlignment="1">
      <alignment horizontal="right" vertical="center" indent="2"/>
    </xf>
    <xf numFmtId="175" fontId="0" fillId="17" borderId="207" xfId="0" applyNumberFormat="1" applyFill="1" applyBorder="1" applyAlignment="1">
      <alignment horizontal="right" vertical="center" indent="2"/>
    </xf>
    <xf numFmtId="4" fontId="0" fillId="17" borderId="209" xfId="4" applyNumberFormat="1" applyFont="1" applyFill="1" applyBorder="1" applyAlignment="1">
      <alignment horizontal="right" vertical="center" indent="2"/>
    </xf>
    <xf numFmtId="4" fontId="0" fillId="17" borderId="126" xfId="4" applyNumberFormat="1" applyFont="1" applyFill="1" applyBorder="1" applyAlignment="1">
      <alignment horizontal="right" vertical="center" indent="2"/>
    </xf>
    <xf numFmtId="0" fontId="7" fillId="0" borderId="148" xfId="0" applyFont="1" applyBorder="1" applyAlignment="1">
      <alignment horizontal="center" vertical="center" wrapText="1"/>
    </xf>
    <xf numFmtId="0" fontId="7" fillId="17" borderId="148" xfId="0" applyFont="1" applyFill="1" applyBorder="1"/>
    <xf numFmtId="9" fontId="7" fillId="17" borderId="64" xfId="0" applyNumberFormat="1" applyFont="1" applyFill="1" applyBorder="1" applyAlignment="1">
      <alignment horizontal="center"/>
    </xf>
    <xf numFmtId="9" fontId="7" fillId="17" borderId="65" xfId="0" applyNumberFormat="1" applyFont="1" applyFill="1" applyBorder="1" applyAlignment="1">
      <alignment horizontal="center"/>
    </xf>
    <xf numFmtId="3" fontId="5" fillId="17" borderId="66" xfId="4" applyNumberFormat="1" applyFill="1" applyBorder="1" applyAlignment="1">
      <alignment horizontal="right" vertical="center" indent="2"/>
    </xf>
    <xf numFmtId="175" fontId="5" fillId="17" borderId="65" xfId="4" applyNumberFormat="1" applyFill="1" applyBorder="1" applyAlignment="1">
      <alignment horizontal="right" vertical="center" indent="2"/>
    </xf>
    <xf numFmtId="175" fontId="5" fillId="17" borderId="66" xfId="4" applyNumberFormat="1" applyFill="1" applyBorder="1" applyAlignment="1">
      <alignment horizontal="right" vertical="center" indent="2"/>
    </xf>
    <xf numFmtId="175" fontId="0" fillId="17" borderId="40" xfId="0" applyNumberFormat="1" applyFill="1" applyBorder="1" applyAlignment="1">
      <alignment horizontal="right" vertical="center" indent="2"/>
    </xf>
    <xf numFmtId="4" fontId="11" fillId="17" borderId="20" xfId="0" applyNumberFormat="1" applyFont="1" applyFill="1" applyBorder="1" applyAlignment="1">
      <alignment horizontal="right" vertical="center" indent="1"/>
    </xf>
    <xf numFmtId="4" fontId="11" fillId="17" borderId="86" xfId="0" applyNumberFormat="1" applyFont="1" applyFill="1" applyBorder="1" applyAlignment="1">
      <alignment horizontal="right" vertical="center" indent="1"/>
    </xf>
    <xf numFmtId="9" fontId="63" fillId="17" borderId="65" xfId="0" applyNumberFormat="1" applyFont="1" applyFill="1" applyBorder="1" applyAlignment="1">
      <alignment horizontal="right" indent="1"/>
    </xf>
    <xf numFmtId="4" fontId="11" fillId="17" borderId="124" xfId="0" applyNumberFormat="1" applyFont="1" applyFill="1" applyBorder="1" applyAlignment="1">
      <alignment horizontal="right" vertical="center" indent="1"/>
    </xf>
    <xf numFmtId="0" fontId="11" fillId="17" borderId="86" xfId="0" applyFont="1" applyFill="1" applyBorder="1" applyAlignment="1">
      <alignment horizontal="right" indent="1"/>
    </xf>
    <xf numFmtId="4" fontId="11" fillId="17" borderId="22" xfId="0" applyNumberFormat="1" applyFont="1" applyFill="1" applyBorder="1" applyAlignment="1">
      <alignment horizontal="right" vertical="center" indent="1"/>
    </xf>
    <xf numFmtId="4" fontId="11" fillId="17" borderId="20" xfId="0" applyNumberFormat="1" applyFont="1" applyFill="1" applyBorder="1" applyAlignment="1">
      <alignment horizontal="right" vertical="center"/>
    </xf>
    <xf numFmtId="4" fontId="11" fillId="17" borderId="115" xfId="0" applyNumberFormat="1" applyFont="1" applyFill="1" applyBorder="1" applyAlignment="1">
      <alignment horizontal="right" vertical="center"/>
    </xf>
    <xf numFmtId="4" fontId="11" fillId="17" borderId="86" xfId="0" applyNumberFormat="1" applyFont="1" applyFill="1" applyBorder="1" applyAlignment="1">
      <alignment horizontal="right" vertical="center"/>
    </xf>
    <xf numFmtId="9" fontId="11" fillId="17" borderId="126" xfId="4" applyFont="1" applyFill="1" applyBorder="1" applyAlignment="1">
      <alignment horizontal="right" vertical="center"/>
    </xf>
    <xf numFmtId="4" fontId="11" fillId="17" borderId="114" xfId="4" applyNumberFormat="1" applyFont="1" applyFill="1" applyBorder="1" applyAlignment="1">
      <alignment horizontal="right" vertical="center"/>
    </xf>
    <xf numFmtId="4" fontId="11" fillId="17" borderId="126" xfId="4" applyNumberFormat="1" applyFont="1" applyFill="1" applyBorder="1" applyAlignment="1">
      <alignment horizontal="right" vertical="center"/>
    </xf>
    <xf numFmtId="9" fontId="63" fillId="17" borderId="65" xfId="0" applyNumberFormat="1" applyFont="1" applyFill="1" applyBorder="1" applyAlignment="1">
      <alignment horizontal="right"/>
    </xf>
    <xf numFmtId="4" fontId="11" fillId="17" borderId="124" xfId="0" applyNumberFormat="1" applyFont="1" applyFill="1" applyBorder="1" applyAlignment="1">
      <alignment horizontal="right" vertical="center"/>
    </xf>
    <xf numFmtId="3" fontId="0" fillId="17" borderId="20" xfId="0" applyNumberFormat="1" applyFill="1" applyBorder="1" applyAlignment="1">
      <alignment horizontal="right" vertical="center" indent="1"/>
    </xf>
    <xf numFmtId="3" fontId="0" fillId="17" borderId="86" xfId="0" applyNumberFormat="1" applyFill="1" applyBorder="1" applyAlignment="1">
      <alignment horizontal="right" vertical="center" indent="1"/>
    </xf>
    <xf numFmtId="3" fontId="7" fillId="17" borderId="65" xfId="0" applyNumberFormat="1" applyFont="1" applyFill="1" applyBorder="1" applyAlignment="1">
      <alignment horizontal="right" indent="1"/>
    </xf>
    <xf numFmtId="3" fontId="0" fillId="17" borderId="124" xfId="0" applyNumberFormat="1" applyFill="1" applyBorder="1" applyAlignment="1">
      <alignment horizontal="right" vertical="center" indent="1"/>
    </xf>
    <xf numFmtId="0" fontId="7" fillId="0" borderId="154" xfId="0" applyFont="1" applyBorder="1" applyAlignment="1">
      <alignment horizontal="center" vertical="center" wrapText="1"/>
    </xf>
    <xf numFmtId="0" fontId="7" fillId="17" borderId="154" xfId="0" applyFont="1" applyFill="1" applyBorder="1"/>
    <xf numFmtId="9" fontId="7" fillId="17" borderId="116" xfId="0" applyNumberFormat="1" applyFont="1" applyFill="1" applyBorder="1" applyAlignment="1">
      <alignment horizontal="center"/>
    </xf>
    <xf numFmtId="9" fontId="7" fillId="17" borderId="86" xfId="0" applyNumberFormat="1" applyFont="1" applyFill="1" applyBorder="1" applyAlignment="1">
      <alignment horizontal="center"/>
    </xf>
    <xf numFmtId="175" fontId="5" fillId="17" borderId="86" xfId="4" applyNumberFormat="1" applyFill="1" applyBorder="1" applyAlignment="1">
      <alignment horizontal="right" vertical="center" indent="2"/>
    </xf>
    <xf numFmtId="175" fontId="5" fillId="17" borderId="39" xfId="4" applyNumberFormat="1" applyFill="1" applyBorder="1" applyAlignment="1">
      <alignment horizontal="right" vertical="center" indent="2"/>
    </xf>
    <xf numFmtId="0" fontId="0" fillId="17" borderId="20" xfId="0" applyFill="1" applyBorder="1" applyAlignment="1">
      <alignment horizontal="center"/>
    </xf>
    <xf numFmtId="9" fontId="50" fillId="17" borderId="210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17" borderId="9" xfId="0" applyFill="1" applyBorder="1" applyAlignment="1">
      <alignment horizontal="left" vertical="center" wrapText="1"/>
    </xf>
    <xf numFmtId="4" fontId="0" fillId="17" borderId="27" xfId="0" applyNumberFormat="1" applyFill="1" applyBorder="1" applyAlignment="1">
      <alignment horizontal="right" vertical="center" indent="2"/>
    </xf>
    <xf numFmtId="4" fontId="0" fillId="17" borderId="32" xfId="0" applyNumberFormat="1" applyFill="1" applyBorder="1" applyAlignment="1">
      <alignment horizontal="right" vertical="center" indent="2"/>
    </xf>
    <xf numFmtId="4" fontId="0" fillId="17" borderId="25" xfId="0" applyNumberFormat="1" applyFill="1" applyBorder="1" applyAlignment="1">
      <alignment horizontal="right" vertical="center" indent="2"/>
    </xf>
    <xf numFmtId="9" fontId="0" fillId="17" borderId="32" xfId="0" applyNumberFormat="1" applyFill="1" applyBorder="1" applyAlignment="1">
      <alignment horizontal="right" vertical="center"/>
    </xf>
    <xf numFmtId="175" fontId="0" fillId="17" borderId="32" xfId="0" applyNumberFormat="1" applyFill="1" applyBorder="1" applyAlignment="1">
      <alignment horizontal="right" vertical="center" indent="2"/>
    </xf>
    <xf numFmtId="175" fontId="0" fillId="17" borderId="208" xfId="0" applyNumberFormat="1" applyFill="1" applyBorder="1" applyAlignment="1">
      <alignment horizontal="right" vertical="center" indent="2"/>
    </xf>
    <xf numFmtId="9" fontId="63" fillId="17" borderId="86" xfId="0" applyNumberFormat="1" applyFont="1" applyFill="1" applyBorder="1" applyAlignment="1">
      <alignment horizontal="right"/>
    </xf>
    <xf numFmtId="3" fontId="7" fillId="17" borderId="86" xfId="0" applyNumberFormat="1" applyFont="1" applyFill="1" applyBorder="1" applyAlignment="1">
      <alignment horizontal="right" indent="1"/>
    </xf>
    <xf numFmtId="3" fontId="5" fillId="17" borderId="39" xfId="4" applyNumberFormat="1" applyFill="1" applyBorder="1" applyAlignment="1">
      <alignment horizontal="right" vertical="center" indent="2"/>
    </xf>
    <xf numFmtId="0" fontId="50" fillId="17" borderId="9" xfId="0" applyFont="1" applyFill="1" applyBorder="1"/>
    <xf numFmtId="9" fontId="50" fillId="17" borderId="25" xfId="0" applyNumberFormat="1" applyFont="1" applyFill="1" applyBorder="1" applyAlignment="1">
      <alignment horizontal="center"/>
    </xf>
    <xf numFmtId="9" fontId="48" fillId="17" borderId="27" xfId="0" applyNumberFormat="1" applyFont="1" applyFill="1" applyBorder="1" applyAlignment="1">
      <alignment horizontal="right"/>
    </xf>
    <xf numFmtId="3" fontId="50" fillId="17" borderId="27" xfId="0" applyNumberFormat="1" applyFont="1" applyFill="1" applyBorder="1" applyAlignment="1">
      <alignment horizontal="right" indent="1"/>
    </xf>
    <xf numFmtId="9" fontId="0" fillId="17" borderId="113" xfId="0" applyNumberFormat="1" applyFill="1" applyBorder="1" applyAlignment="1">
      <alignment horizontal="right" vertical="center"/>
    </xf>
    <xf numFmtId="9" fontId="0" fillId="17" borderId="126" xfId="0" applyNumberFormat="1" applyFill="1" applyBorder="1" applyAlignment="1">
      <alignment horizontal="right" vertical="center"/>
    </xf>
    <xf numFmtId="9" fontId="50" fillId="17" borderId="126" xfId="0" applyNumberFormat="1" applyFont="1" applyFill="1" applyBorder="1" applyAlignment="1">
      <alignment horizontal="right" vertical="center"/>
    </xf>
    <xf numFmtId="9" fontId="7" fillId="17" borderId="65" xfId="0" applyNumberFormat="1" applyFont="1" applyFill="1" applyBorder="1" applyAlignment="1">
      <alignment horizontal="right" vertical="center"/>
    </xf>
    <xf numFmtId="9" fontId="7" fillId="17" borderId="86" xfId="0" applyNumberFormat="1" applyFont="1" applyFill="1" applyBorder="1" applyAlignment="1">
      <alignment horizontal="right" vertical="center"/>
    </xf>
    <xf numFmtId="175" fontId="11" fillId="17" borderId="86" xfId="0" applyNumberFormat="1" applyFont="1" applyFill="1" applyBorder="1" applyAlignment="1">
      <alignment horizontal="right" vertical="center" indent="2"/>
    </xf>
    <xf numFmtId="175" fontId="11" fillId="17" borderId="113" xfId="0" applyNumberFormat="1" applyFont="1" applyFill="1" applyBorder="1" applyAlignment="1">
      <alignment horizontal="right" vertical="center" indent="2"/>
    </xf>
    <xf numFmtId="175" fontId="11" fillId="17" borderId="22" xfId="0" applyNumberFormat="1" applyFont="1" applyFill="1" applyBorder="1" applyAlignment="1">
      <alignment horizontal="right" vertical="center" indent="2"/>
    </xf>
    <xf numFmtId="175" fontId="11" fillId="17" borderId="126" xfId="0" applyNumberFormat="1" applyFont="1" applyFill="1" applyBorder="1" applyAlignment="1">
      <alignment horizontal="center"/>
    </xf>
    <xf numFmtId="175" fontId="48" fillId="17" borderId="126" xfId="0" applyNumberFormat="1" applyFont="1" applyFill="1" applyBorder="1" applyAlignment="1">
      <alignment horizontal="center"/>
    </xf>
    <xf numFmtId="175" fontId="63" fillId="17" borderId="65" xfId="0" applyNumberFormat="1" applyFont="1" applyFill="1" applyBorder="1" applyAlignment="1">
      <alignment horizontal="right" indent="2"/>
    </xf>
    <xf numFmtId="175" fontId="11" fillId="17" borderId="124" xfId="0" applyNumberFormat="1" applyFont="1" applyFill="1" applyBorder="1" applyAlignment="1">
      <alignment horizontal="right" vertical="center" indent="2"/>
    </xf>
    <xf numFmtId="175" fontId="63" fillId="17" borderId="86" xfId="0" applyNumberFormat="1" applyFont="1" applyFill="1" applyBorder="1" applyAlignment="1">
      <alignment horizontal="right" indent="2"/>
    </xf>
    <xf numFmtId="4" fontId="11" fillId="17" borderId="113" xfId="0" applyNumberFormat="1" applyFont="1" applyFill="1" applyBorder="1" applyAlignment="1">
      <alignment horizontal="right" vertical="center" indent="1"/>
    </xf>
    <xf numFmtId="0" fontId="11" fillId="17" borderId="126" xfId="0" applyFont="1" applyFill="1" applyBorder="1" applyAlignment="1">
      <alignment horizontal="right" indent="1"/>
    </xf>
    <xf numFmtId="9" fontId="48" fillId="17" borderId="126" xfId="0" applyNumberFormat="1" applyFont="1" applyFill="1" applyBorder="1" applyAlignment="1">
      <alignment horizontal="right" indent="1"/>
    </xf>
    <xf numFmtId="9" fontId="63" fillId="17" borderId="86" xfId="0" applyNumberFormat="1" applyFont="1" applyFill="1" applyBorder="1" applyAlignment="1">
      <alignment horizontal="right" indent="1"/>
    </xf>
    <xf numFmtId="4" fontId="11" fillId="17" borderId="32" xfId="0" applyNumberFormat="1" applyFont="1" applyFill="1" applyBorder="1" applyAlignment="1">
      <alignment horizontal="right" vertical="center" indent="1"/>
    </xf>
    <xf numFmtId="4" fontId="0" fillId="17" borderId="60" xfId="0" applyNumberFormat="1" applyFill="1" applyBorder="1" applyAlignment="1">
      <alignment horizontal="right" vertical="center" indent="1"/>
    </xf>
    <xf numFmtId="170" fontId="0" fillId="0" borderId="0" xfId="0" applyNumberFormat="1" applyAlignment="1">
      <alignment horizontal="right"/>
    </xf>
    <xf numFmtId="3" fontId="0" fillId="17" borderId="208" xfId="0" applyNumberFormat="1" applyFill="1" applyBorder="1" applyAlignment="1">
      <alignment horizontal="right" vertical="center" indent="2"/>
    </xf>
    <xf numFmtId="174" fontId="0" fillId="0" borderId="0" xfId="4" applyNumberFormat="1" applyFont="1" applyAlignment="1">
      <alignment horizontal="right"/>
    </xf>
    <xf numFmtId="3" fontId="11" fillId="17" borderId="60" xfId="0" applyNumberFormat="1" applyFont="1" applyFill="1" applyBorder="1" applyAlignment="1">
      <alignment horizontal="right" vertical="center" indent="1"/>
    </xf>
    <xf numFmtId="3" fontId="11" fillId="17" borderId="86" xfId="0" applyNumberFormat="1" applyFont="1" applyFill="1" applyBorder="1" applyAlignment="1">
      <alignment horizontal="right" vertical="center" indent="1"/>
    </xf>
    <xf numFmtId="3" fontId="11" fillId="17" borderId="113" xfId="0" applyNumberFormat="1" applyFont="1" applyFill="1" applyBorder="1" applyAlignment="1">
      <alignment horizontal="right" vertical="center" indent="1"/>
    </xf>
    <xf numFmtId="3" fontId="11" fillId="17" borderId="22" xfId="0" applyNumberFormat="1" applyFont="1" applyFill="1" applyBorder="1" applyAlignment="1">
      <alignment horizontal="right" vertical="center" indent="1"/>
    </xf>
    <xf numFmtId="3" fontId="11" fillId="17" borderId="124" xfId="0" applyNumberFormat="1" applyFont="1" applyFill="1" applyBorder="1" applyAlignment="1">
      <alignment horizontal="right" vertical="center" indent="1"/>
    </xf>
    <xf numFmtId="3" fontId="63" fillId="17" borderId="65" xfId="0" applyNumberFormat="1" applyFont="1" applyFill="1" applyBorder="1" applyAlignment="1">
      <alignment horizontal="right" indent="1"/>
    </xf>
    <xf numFmtId="3" fontId="63" fillId="17" borderId="86" xfId="0" applyNumberFormat="1" applyFont="1" applyFill="1" applyBorder="1" applyAlignment="1">
      <alignment horizontal="right" indent="1"/>
    </xf>
    <xf numFmtId="3" fontId="0" fillId="17" borderId="32" xfId="0" applyNumberFormat="1" applyFill="1" applyBorder="1" applyAlignment="1">
      <alignment horizontal="right" vertical="center" indent="1"/>
    </xf>
    <xf numFmtId="3" fontId="0" fillId="17" borderId="60" xfId="0" applyNumberFormat="1" applyFill="1" applyBorder="1" applyAlignment="1">
      <alignment horizontal="right" vertical="center" indent="1"/>
    </xf>
    <xf numFmtId="3" fontId="0" fillId="17" borderId="113" xfId="0" applyNumberFormat="1" applyFill="1" applyBorder="1" applyAlignment="1">
      <alignment horizontal="right" vertical="center" indent="1"/>
    </xf>
    <xf numFmtId="3" fontId="0" fillId="17" borderId="22" xfId="0" applyNumberFormat="1" applyFill="1" applyBorder="1" applyAlignment="1">
      <alignment horizontal="right" vertical="center" indent="1"/>
    </xf>
    <xf numFmtId="3" fontId="5" fillId="17" borderId="65" xfId="4" applyNumberFormat="1" applyFill="1" applyBorder="1" applyAlignment="1">
      <alignment horizontal="right" vertical="center" indent="1"/>
    </xf>
    <xf numFmtId="3" fontId="5" fillId="17" borderId="86" xfId="4" applyNumberFormat="1" applyFill="1" applyBorder="1" applyAlignment="1">
      <alignment horizontal="right" vertical="center" indent="1"/>
    </xf>
    <xf numFmtId="4" fontId="76" fillId="4" borderId="117" xfId="2" applyNumberFormat="1" applyFont="1" applyBorder="1" applyAlignment="1">
      <alignment horizontal="right" vertical="top" wrapText="1"/>
    </xf>
    <xf numFmtId="0" fontId="35" fillId="0" borderId="211" xfId="0" applyFont="1" applyBorder="1" applyAlignment="1">
      <alignment horizontal="center" vertical="center" wrapText="1"/>
    </xf>
    <xf numFmtId="3" fontId="0" fillId="17" borderId="119" xfId="0" applyNumberFormat="1" applyFill="1" applyBorder="1" applyAlignment="1">
      <alignment horizontal="right" vertical="center" indent="2"/>
    </xf>
    <xf numFmtId="3" fontId="0" fillId="17" borderId="0" xfId="0" applyNumberFormat="1" applyFill="1" applyAlignment="1">
      <alignment horizontal="right" vertical="center" indent="2"/>
    </xf>
    <xf numFmtId="3" fontId="50" fillId="17" borderId="26" xfId="0" applyNumberFormat="1" applyFont="1" applyFill="1" applyBorder="1" applyAlignment="1">
      <alignment horizontal="center"/>
    </xf>
    <xf numFmtId="3" fontId="0" fillId="17" borderId="116" xfId="0" applyNumberFormat="1" applyFill="1" applyBorder="1" applyAlignment="1">
      <alignment horizontal="right" vertical="center" indent="2"/>
    </xf>
    <xf numFmtId="3" fontId="0" fillId="17" borderId="115" xfId="0" applyNumberFormat="1" applyFill="1" applyBorder="1" applyAlignment="1">
      <alignment horizontal="right" vertical="center" indent="2"/>
    </xf>
    <xf numFmtId="3" fontId="0" fillId="17" borderId="20" xfId="4" applyNumberFormat="1" applyFont="1" applyFill="1" applyBorder="1" applyAlignment="1">
      <alignment horizontal="right" vertical="center" indent="2"/>
    </xf>
    <xf numFmtId="3" fontId="0" fillId="17" borderId="124" xfId="4" applyNumberFormat="1" applyFont="1" applyFill="1" applyBorder="1" applyAlignment="1">
      <alignment horizontal="right" vertical="center" indent="2"/>
    </xf>
    <xf numFmtId="3" fontId="0" fillId="17" borderId="113" xfId="0" applyNumberFormat="1" applyFill="1" applyBorder="1" applyAlignment="1">
      <alignment horizontal="right" vertical="center" indent="2"/>
    </xf>
    <xf numFmtId="0" fontId="50" fillId="17" borderId="27" xfId="0" applyFont="1" applyFill="1" applyBorder="1" applyAlignment="1">
      <alignment horizontal="center"/>
    </xf>
    <xf numFmtId="0" fontId="29" fillId="0" borderId="8" xfId="0" applyFont="1" applyBorder="1" applyAlignment="1">
      <alignment horizontal="center" vertical="center" wrapText="1"/>
    </xf>
    <xf numFmtId="3" fontId="11" fillId="17" borderId="89" xfId="0" applyNumberFormat="1" applyFont="1" applyFill="1" applyBorder="1" applyAlignment="1">
      <alignment horizontal="right" vertical="center" indent="2"/>
    </xf>
    <xf numFmtId="3" fontId="11" fillId="17" borderId="154" xfId="0" applyNumberFormat="1" applyFont="1" applyFill="1" applyBorder="1" applyAlignment="1">
      <alignment horizontal="right" vertical="center" indent="2"/>
    </xf>
    <xf numFmtId="3" fontId="11" fillId="17" borderId="80" xfId="4" applyNumberFormat="1" applyFont="1" applyFill="1" applyBorder="1" applyAlignment="1">
      <alignment horizontal="right" vertical="center" indent="2"/>
    </xf>
    <xf numFmtId="3" fontId="11" fillId="17" borderId="152" xfId="4" applyNumberFormat="1" applyFont="1" applyFill="1" applyBorder="1" applyAlignment="1">
      <alignment horizontal="right" vertical="center" indent="2"/>
    </xf>
    <xf numFmtId="3" fontId="11" fillId="17" borderId="147" xfId="0" applyNumberFormat="1" applyFont="1" applyFill="1" applyBorder="1" applyAlignment="1">
      <alignment horizontal="right" vertical="center" indent="2"/>
    </xf>
    <xf numFmtId="0" fontId="48" fillId="17" borderId="9" xfId="0" applyFont="1" applyFill="1" applyBorder="1" applyAlignment="1">
      <alignment horizontal="center"/>
    </xf>
    <xf numFmtId="167" fontId="17" fillId="5" borderId="84" xfId="5" applyNumberFormat="1" applyFont="1" applyFill="1" applyBorder="1" applyAlignment="1">
      <alignment horizontal="right" vertical="center" wrapText="1"/>
    </xf>
    <xf numFmtId="167" fontId="17" fillId="5" borderId="53" xfId="5" applyNumberFormat="1" applyFont="1" applyFill="1" applyBorder="1" applyAlignment="1">
      <alignment horizontal="right" vertical="center" wrapText="1"/>
    </xf>
    <xf numFmtId="167" fontId="17" fillId="5" borderId="41" xfId="5" applyNumberFormat="1" applyFont="1" applyFill="1" applyBorder="1" applyAlignment="1">
      <alignment horizontal="right" vertical="center" wrapText="1"/>
    </xf>
    <xf numFmtId="167" fontId="17" fillId="5" borderId="17" xfId="5" applyNumberFormat="1" applyFont="1" applyFill="1" applyBorder="1" applyAlignment="1">
      <alignment horizontal="right" vertical="center" wrapText="1"/>
    </xf>
    <xf numFmtId="167" fontId="17" fillId="5" borderId="85" xfId="5" applyNumberFormat="1" applyFont="1" applyFill="1" applyBorder="1" applyAlignment="1">
      <alignment horizontal="right" vertical="center" wrapText="1"/>
    </xf>
    <xf numFmtId="167" fontId="17" fillId="5" borderId="56" xfId="5" applyNumberFormat="1" applyFont="1" applyFill="1" applyBorder="1" applyAlignment="1">
      <alignment horizontal="right" vertical="center" wrapText="1"/>
    </xf>
    <xf numFmtId="9" fontId="7" fillId="0" borderId="0" xfId="0" applyNumberFormat="1" applyFont="1" applyAlignment="1">
      <alignment vertical="top"/>
    </xf>
    <xf numFmtId="3" fontId="33" fillId="0" borderId="0" xfId="0" applyNumberFormat="1" applyFont="1"/>
    <xf numFmtId="168" fontId="17" fillId="5" borderId="53" xfId="3" applyNumberFormat="1" applyFont="1" applyBorder="1" applyAlignment="1">
      <alignment horizontal="right" vertical="center" wrapText="1"/>
    </xf>
    <xf numFmtId="168" fontId="17" fillId="5" borderId="17" xfId="3" applyNumberFormat="1" applyFont="1" applyAlignment="1">
      <alignment horizontal="right" vertical="center" wrapText="1"/>
    </xf>
    <xf numFmtId="168" fontId="17" fillId="5" borderId="56" xfId="3" applyNumberFormat="1" applyFont="1" applyBorder="1" applyAlignment="1">
      <alignment horizontal="right" vertical="center" wrapText="1"/>
    </xf>
    <xf numFmtId="176" fontId="17" fillId="5" borderId="84" xfId="5" applyNumberFormat="1" applyFont="1" applyFill="1" applyBorder="1" applyAlignment="1">
      <alignment horizontal="right" vertical="center" wrapText="1"/>
    </xf>
    <xf numFmtId="176" fontId="17" fillId="5" borderId="53" xfId="5" applyNumberFormat="1" applyFont="1" applyFill="1" applyBorder="1" applyAlignment="1">
      <alignment horizontal="right" vertical="center" wrapText="1"/>
    </xf>
    <xf numFmtId="176" fontId="17" fillId="5" borderId="41" xfId="5" applyNumberFormat="1" applyFont="1" applyFill="1" applyBorder="1" applyAlignment="1">
      <alignment horizontal="right" vertical="center" wrapText="1"/>
    </xf>
    <xf numFmtId="176" fontId="17" fillId="5" borderId="17" xfId="5" applyNumberFormat="1" applyFont="1" applyFill="1" applyBorder="1" applyAlignment="1">
      <alignment horizontal="right" vertical="center" wrapText="1"/>
    </xf>
    <xf numFmtId="176" fontId="17" fillId="5" borderId="85" xfId="5" applyNumberFormat="1" applyFont="1" applyFill="1" applyBorder="1" applyAlignment="1">
      <alignment horizontal="right" vertical="center" wrapText="1"/>
    </xf>
    <xf numFmtId="176" fontId="17" fillId="5" borderId="56" xfId="5" applyNumberFormat="1" applyFont="1" applyFill="1" applyBorder="1" applyAlignment="1">
      <alignment horizontal="right" vertical="center" wrapText="1"/>
    </xf>
    <xf numFmtId="7" fontId="17" fillId="5" borderId="84" xfId="5" applyNumberFormat="1" applyFont="1" applyFill="1" applyBorder="1" applyAlignment="1">
      <alignment horizontal="right" vertical="center" wrapText="1"/>
    </xf>
    <xf numFmtId="7" fontId="17" fillId="5" borderId="53" xfId="5" applyNumberFormat="1" applyFont="1" applyFill="1" applyBorder="1" applyAlignment="1">
      <alignment horizontal="right" vertical="center" wrapText="1"/>
    </xf>
    <xf numFmtId="7" fontId="17" fillId="5" borderId="41" xfId="5" applyNumberFormat="1" applyFont="1" applyFill="1" applyBorder="1" applyAlignment="1">
      <alignment horizontal="right" vertical="center" wrapText="1"/>
    </xf>
    <xf numFmtId="7" fontId="17" fillId="5" borderId="17" xfId="5" applyNumberFormat="1" applyFont="1" applyFill="1" applyBorder="1" applyAlignment="1">
      <alignment horizontal="right" vertical="center" wrapText="1"/>
    </xf>
    <xf numFmtId="7" fontId="17" fillId="5" borderId="85" xfId="5" applyNumberFormat="1" applyFont="1" applyFill="1" applyBorder="1" applyAlignment="1">
      <alignment horizontal="right" vertical="center" wrapText="1"/>
    </xf>
    <xf numFmtId="7" fontId="17" fillId="5" borderId="56" xfId="5" applyNumberFormat="1" applyFont="1" applyFill="1" applyBorder="1" applyAlignment="1">
      <alignment horizontal="right" vertical="center" wrapText="1"/>
    </xf>
    <xf numFmtId="7" fontId="17" fillId="5" borderId="53" xfId="3" applyNumberFormat="1" applyFont="1" applyBorder="1" applyAlignment="1">
      <alignment horizontal="right" vertical="center" wrapText="1"/>
    </xf>
    <xf numFmtId="7" fontId="17" fillId="5" borderId="17" xfId="3" applyNumberFormat="1" applyFont="1" applyAlignment="1">
      <alignment horizontal="right" vertical="center" wrapText="1"/>
    </xf>
    <xf numFmtId="7" fontId="17" fillId="5" borderId="127" xfId="3" applyNumberFormat="1" applyFont="1" applyBorder="1" applyAlignment="1">
      <alignment horizontal="right" vertical="center" wrapText="1"/>
    </xf>
    <xf numFmtId="0" fontId="43" fillId="29" borderId="24" xfId="0" applyFont="1" applyFill="1" applyBorder="1" applyAlignment="1">
      <alignment horizontal="center" vertical="center"/>
    </xf>
    <xf numFmtId="0" fontId="43" fillId="29" borderId="0" xfId="0" applyFont="1" applyFill="1" applyAlignment="1">
      <alignment horizontal="center" vertical="center"/>
    </xf>
    <xf numFmtId="0" fontId="43" fillId="29" borderId="6" xfId="0" applyFont="1" applyFill="1" applyBorder="1" applyAlignment="1">
      <alignment horizontal="center" vertical="center"/>
    </xf>
    <xf numFmtId="0" fontId="43" fillId="29" borderId="199" xfId="0" applyFont="1" applyFill="1" applyBorder="1" applyAlignment="1">
      <alignment horizontal="center" vertical="center"/>
    </xf>
    <xf numFmtId="0" fontId="43" fillId="29" borderId="200" xfId="0" applyFont="1" applyFill="1" applyBorder="1" applyAlignment="1">
      <alignment horizontal="center" vertical="center"/>
    </xf>
    <xf numFmtId="0" fontId="43" fillId="29" borderId="159" xfId="0" applyFont="1" applyFill="1" applyBorder="1" applyAlignment="1">
      <alignment horizontal="center" vertical="center"/>
    </xf>
    <xf numFmtId="0" fontId="43" fillId="29" borderId="160" xfId="0" applyFont="1" applyFill="1" applyBorder="1" applyAlignment="1">
      <alignment horizontal="center" vertical="center"/>
    </xf>
    <xf numFmtId="0" fontId="43" fillId="29" borderId="198" xfId="0" applyFont="1" applyFill="1" applyBorder="1" applyAlignment="1">
      <alignment horizontal="center" vertical="center"/>
    </xf>
    <xf numFmtId="0" fontId="43" fillId="29" borderId="162" xfId="0" applyFont="1" applyFill="1" applyBorder="1" applyAlignment="1">
      <alignment horizontal="center" vertical="center"/>
    </xf>
    <xf numFmtId="0" fontId="43" fillId="29" borderId="163" xfId="0" applyFont="1" applyFill="1" applyBorder="1" applyAlignment="1">
      <alignment horizontal="center" vertical="center"/>
    </xf>
    <xf numFmtId="0" fontId="79" fillId="17" borderId="186" xfId="0" applyFont="1" applyFill="1" applyBorder="1" applyAlignment="1">
      <alignment horizontal="center" vertical="center" wrapText="1"/>
    </xf>
    <xf numFmtId="0" fontId="79" fillId="17" borderId="192" xfId="0" applyFont="1" applyFill="1" applyBorder="1" applyAlignment="1">
      <alignment horizontal="center" vertical="center"/>
    </xf>
    <xf numFmtId="0" fontId="79" fillId="17" borderId="193" xfId="0" applyFont="1" applyFill="1" applyBorder="1" applyAlignment="1">
      <alignment horizontal="center" vertical="center"/>
    </xf>
    <xf numFmtId="179" fontId="37" fillId="17" borderId="190" xfId="7" applyNumberFormat="1" applyFont="1" applyFill="1" applyBorder="1" applyAlignment="1">
      <alignment horizontal="center" vertical="center"/>
    </xf>
    <xf numFmtId="179" fontId="68" fillId="13" borderId="6" xfId="7" applyNumberFormat="1" applyFont="1" applyFill="1" applyBorder="1" applyAlignment="1">
      <alignment horizontal="center" vertical="center"/>
    </xf>
    <xf numFmtId="179" fontId="38" fillId="12" borderId="80" xfId="7" applyNumberFormat="1" applyFont="1" applyFill="1" applyBorder="1" applyAlignment="1">
      <alignment horizontal="center" vertical="center" wrapText="1"/>
    </xf>
    <xf numFmtId="179" fontId="37" fillId="17" borderId="214" xfId="7" applyNumberFormat="1" applyFont="1" applyFill="1" applyBorder="1" applyAlignment="1">
      <alignment horizontal="center" vertical="center"/>
    </xf>
    <xf numFmtId="179" fontId="68" fillId="13" borderId="80" xfId="7" applyNumberFormat="1" applyFont="1" applyFill="1" applyBorder="1" applyAlignment="1">
      <alignment horizontal="center" vertical="center"/>
    </xf>
    <xf numFmtId="179" fontId="38" fillId="12" borderId="6" xfId="7" applyNumberFormat="1" applyFont="1" applyFill="1" applyBorder="1" applyAlignment="1">
      <alignment horizontal="center" vertical="center" wrapText="1"/>
    </xf>
    <xf numFmtId="179" fontId="68" fillId="13" borderId="5" xfId="7" applyNumberFormat="1" applyFont="1" applyFill="1" applyBorder="1" applyAlignment="1">
      <alignment horizontal="center" vertical="center"/>
    </xf>
    <xf numFmtId="179" fontId="38" fillId="12" borderId="9" xfId="7" applyNumberFormat="1" applyFont="1" applyFill="1" applyBorder="1" applyAlignment="1">
      <alignment horizontal="center" vertical="center" wrapText="1"/>
    </xf>
    <xf numFmtId="0" fontId="79" fillId="17" borderId="187" xfId="0" applyFont="1" applyFill="1" applyBorder="1" applyAlignment="1">
      <alignment horizontal="center" vertical="center"/>
    </xf>
    <xf numFmtId="0" fontId="79" fillId="17" borderId="188" xfId="0" applyFont="1" applyFill="1" applyBorder="1" applyAlignment="1">
      <alignment horizontal="center" vertical="center"/>
    </xf>
    <xf numFmtId="0" fontId="0" fillId="0" borderId="0" xfId="0" pivotButton="1"/>
    <xf numFmtId="49" fontId="0" fillId="17" borderId="22" xfId="0" applyNumberFormat="1" applyFill="1" applyBorder="1" applyAlignment="1">
      <alignment horizontal="center" wrapText="1"/>
    </xf>
    <xf numFmtId="173" fontId="33" fillId="0" borderId="0" xfId="0" applyNumberFormat="1" applyFont="1"/>
    <xf numFmtId="170" fontId="11" fillId="0" borderId="0" xfId="0" applyNumberFormat="1" applyFont="1"/>
    <xf numFmtId="4" fontId="0" fillId="17" borderId="60" xfId="0" applyNumberFormat="1" applyFill="1" applyBorder="1"/>
    <xf numFmtId="4" fontId="0" fillId="17" borderId="22" xfId="0" applyNumberFormat="1" applyFill="1" applyBorder="1"/>
    <xf numFmtId="4" fontId="0" fillId="17" borderId="86" xfId="0" applyNumberFormat="1" applyFill="1" applyBorder="1"/>
    <xf numFmtId="3" fontId="0" fillId="17" borderId="60" xfId="0" applyNumberFormat="1" applyFill="1" applyBorder="1"/>
    <xf numFmtId="3" fontId="0" fillId="17" borderId="22" xfId="0" applyNumberFormat="1" applyFill="1" applyBorder="1"/>
    <xf numFmtId="3" fontId="0" fillId="17" borderId="115" xfId="0" applyNumberFormat="1" applyFill="1" applyBorder="1" applyAlignment="1">
      <alignment horizontal="right" vertical="center" indent="1"/>
    </xf>
    <xf numFmtId="3" fontId="0" fillId="17" borderId="59" xfId="0" applyNumberFormat="1" applyFill="1" applyBorder="1" applyAlignment="1">
      <alignment horizontal="right" vertical="center" indent="2"/>
    </xf>
    <xf numFmtId="3" fontId="0" fillId="17" borderId="122" xfId="0" applyNumberFormat="1" applyFill="1" applyBorder="1" applyAlignment="1">
      <alignment horizontal="right" vertical="center" indent="2"/>
    </xf>
    <xf numFmtId="3" fontId="5" fillId="17" borderId="126" xfId="4" applyNumberFormat="1" applyFont="1" applyFill="1" applyBorder="1" applyAlignment="1">
      <alignment horizontal="right" vertical="center" indent="1"/>
    </xf>
    <xf numFmtId="3" fontId="5" fillId="17" borderId="19" xfId="4" applyNumberFormat="1" applyFont="1" applyFill="1" applyBorder="1" applyAlignment="1">
      <alignment horizontal="right" vertical="center" indent="2"/>
    </xf>
    <xf numFmtId="3" fontId="5" fillId="17" borderId="114" xfId="4" applyNumberFormat="1" applyFont="1" applyFill="1" applyBorder="1" applyAlignment="1">
      <alignment horizontal="right" vertical="center" indent="1"/>
    </xf>
    <xf numFmtId="3" fontId="5" fillId="17" borderId="123" xfId="4" applyNumberFormat="1" applyFont="1" applyFill="1" applyBorder="1" applyAlignment="1">
      <alignment horizontal="right" vertical="center" indent="2"/>
    </xf>
    <xf numFmtId="3" fontId="0" fillId="17" borderId="126" xfId="0" applyNumberFormat="1" applyFill="1" applyBorder="1" applyAlignment="1">
      <alignment horizontal="right" vertical="center" indent="1"/>
    </xf>
    <xf numFmtId="3" fontId="0" fillId="17" borderId="19" xfId="0" applyNumberFormat="1" applyFill="1" applyBorder="1" applyAlignment="1">
      <alignment horizontal="right" vertical="center" indent="2"/>
    </xf>
    <xf numFmtId="3" fontId="11" fillId="17" borderId="80" xfId="0" applyNumberFormat="1" applyFont="1" applyFill="1" applyBorder="1" applyAlignment="1">
      <alignment horizontal="right" vertical="center" indent="2"/>
    </xf>
    <xf numFmtId="3" fontId="0" fillId="17" borderId="20" xfId="0" applyNumberFormat="1" applyFill="1" applyBorder="1" applyAlignment="1">
      <alignment horizontal="right" vertical="center" indent="2"/>
    </xf>
    <xf numFmtId="3" fontId="0" fillId="17" borderId="126" xfId="0" applyNumberFormat="1" applyFill="1" applyBorder="1" applyAlignment="1">
      <alignment horizontal="right" vertical="center" indent="2"/>
    </xf>
    <xf numFmtId="3" fontId="5" fillId="17" borderId="212" xfId="4" applyNumberFormat="1" applyFont="1" applyFill="1" applyBorder="1" applyAlignment="1">
      <alignment horizontal="right" vertical="center" indent="2"/>
    </xf>
    <xf numFmtId="3" fontId="5" fillId="17" borderId="148" xfId="4" applyNumberFormat="1" applyFont="1" applyFill="1" applyBorder="1" applyAlignment="1">
      <alignment horizontal="right" vertical="center" indent="2"/>
    </xf>
    <xf numFmtId="3" fontId="5" fillId="17" borderId="64" xfId="4" applyNumberFormat="1" applyFont="1" applyFill="1" applyBorder="1" applyAlignment="1">
      <alignment horizontal="right" vertical="center" indent="2"/>
    </xf>
    <xf numFmtId="3" fontId="5" fillId="17" borderId="65" xfId="4" applyNumberFormat="1" applyFont="1" applyFill="1" applyBorder="1" applyAlignment="1">
      <alignment horizontal="right" vertical="center" indent="2"/>
    </xf>
    <xf numFmtId="3" fontId="5" fillId="17" borderId="66" xfId="4" applyNumberFormat="1" applyFont="1" applyFill="1" applyBorder="1" applyAlignment="1">
      <alignment horizontal="right" vertical="center" indent="2"/>
    </xf>
    <xf numFmtId="3" fontId="0" fillId="17" borderId="21" xfId="0" applyNumberFormat="1" applyFill="1" applyBorder="1" applyAlignment="1">
      <alignment horizontal="right" vertical="center" indent="2"/>
    </xf>
    <xf numFmtId="3" fontId="5" fillId="17" borderId="122" xfId="4" applyNumberFormat="1" applyFont="1" applyFill="1" applyBorder="1" applyAlignment="1">
      <alignment horizontal="right" vertical="center" indent="2"/>
    </xf>
    <xf numFmtId="3" fontId="5" fillId="17" borderId="154" xfId="4" applyNumberFormat="1" applyFont="1" applyFill="1" applyBorder="1" applyAlignment="1">
      <alignment horizontal="right" vertical="center" indent="2"/>
    </xf>
    <xf numFmtId="3" fontId="5" fillId="17" borderId="116" xfId="4" applyNumberFormat="1" applyFont="1" applyFill="1" applyBorder="1" applyAlignment="1">
      <alignment horizontal="right" vertical="center" indent="2"/>
    </xf>
    <xf numFmtId="3" fontId="5" fillId="17" borderId="86" xfId="4" applyNumberFormat="1" applyFont="1" applyFill="1" applyBorder="1" applyAlignment="1">
      <alignment horizontal="right" vertical="center" indent="2"/>
    </xf>
    <xf numFmtId="3" fontId="5" fillId="17" borderId="39" xfId="4" applyNumberFormat="1" applyFont="1" applyFill="1" applyBorder="1" applyAlignment="1">
      <alignment horizontal="right" vertical="center" indent="2"/>
    </xf>
    <xf numFmtId="180" fontId="0" fillId="17" borderId="60" xfId="0" applyNumberFormat="1" applyFill="1" applyBorder="1" applyAlignment="1">
      <alignment horizontal="right" vertical="center" indent="2"/>
    </xf>
    <xf numFmtId="180" fontId="0" fillId="17" borderId="86" xfId="0" applyNumberFormat="1" applyFill="1" applyBorder="1" applyAlignment="1">
      <alignment horizontal="right" vertical="center" indent="2"/>
    </xf>
    <xf numFmtId="180" fontId="0" fillId="17" borderId="113" xfId="0" applyNumberFormat="1" applyFill="1" applyBorder="1" applyAlignment="1">
      <alignment horizontal="right" vertical="center" indent="2"/>
    </xf>
    <xf numFmtId="180" fontId="0" fillId="17" borderId="22" xfId="0" applyNumberFormat="1" applyFill="1" applyBorder="1" applyAlignment="1">
      <alignment horizontal="right" vertical="center" indent="2"/>
    </xf>
    <xf numFmtId="180" fontId="0" fillId="17" borderId="126" xfId="0" applyNumberFormat="1" applyFill="1" applyBorder="1" applyAlignment="1">
      <alignment horizontal="center"/>
    </xf>
    <xf numFmtId="180" fontId="50" fillId="17" borderId="126" xfId="0" applyNumberFormat="1" applyFont="1" applyFill="1" applyBorder="1" applyAlignment="1">
      <alignment horizontal="center"/>
    </xf>
    <xf numFmtId="180" fontId="5" fillId="17" borderId="65" xfId="4" applyNumberFormat="1" applyFill="1" applyBorder="1" applyAlignment="1">
      <alignment horizontal="right" vertical="center" indent="2"/>
    </xf>
    <xf numFmtId="180" fontId="0" fillId="17" borderId="124" xfId="0" applyNumberFormat="1" applyFill="1" applyBorder="1" applyAlignment="1">
      <alignment horizontal="right" vertical="center" indent="2"/>
    </xf>
    <xf numFmtId="180" fontId="5" fillId="17" borderId="86" xfId="4" applyNumberFormat="1" applyFill="1" applyBorder="1" applyAlignment="1">
      <alignment horizontal="right" vertical="center" indent="2"/>
    </xf>
    <xf numFmtId="180" fontId="0" fillId="17" borderId="32" xfId="0" applyNumberFormat="1" applyFill="1" applyBorder="1" applyAlignment="1">
      <alignment horizontal="right" vertical="center" indent="2"/>
    </xf>
    <xf numFmtId="3" fontId="11" fillId="17" borderId="65" xfId="0" applyNumberFormat="1" applyFont="1" applyFill="1" applyBorder="1" applyAlignment="1">
      <alignment horizontal="right" vertical="center" indent="1"/>
    </xf>
    <xf numFmtId="3" fontId="0" fillId="17" borderId="65" xfId="0" applyNumberFormat="1" applyFill="1" applyBorder="1" applyAlignment="1">
      <alignment horizontal="right" vertical="center" indent="1"/>
    </xf>
    <xf numFmtId="3" fontId="0" fillId="17" borderId="66" xfId="0" applyNumberFormat="1" applyFill="1" applyBorder="1" applyAlignment="1">
      <alignment horizontal="right" vertical="center" indent="2"/>
    </xf>
    <xf numFmtId="180" fontId="0" fillId="0" borderId="0" xfId="0" applyNumberFormat="1" applyAlignment="1">
      <alignment horizontal="right"/>
    </xf>
    <xf numFmtId="0" fontId="34" fillId="0" borderId="0" xfId="0" applyFont="1" applyAlignment="1">
      <alignment wrapText="1"/>
    </xf>
    <xf numFmtId="4" fontId="34" fillId="0" borderId="0" xfId="0" applyNumberFormat="1" applyFont="1" applyAlignment="1">
      <alignment horizontal="right" wrapText="1"/>
    </xf>
    <xf numFmtId="3" fontId="34" fillId="0" borderId="0" xfId="0" applyNumberFormat="1" applyFont="1" applyAlignment="1">
      <alignment horizontal="right" wrapText="1"/>
    </xf>
    <xf numFmtId="0" fontId="34" fillId="0" borderId="0" xfId="0" applyFont="1" applyAlignment="1">
      <alignment horizontal="right" wrapText="1"/>
    </xf>
    <xf numFmtId="4" fontId="33" fillId="0" borderId="0" xfId="0" applyNumberFormat="1" applyFont="1"/>
    <xf numFmtId="3" fontId="80" fillId="0" borderId="0" xfId="0" applyNumberFormat="1" applyFont="1"/>
    <xf numFmtId="3" fontId="34" fillId="0" borderId="0" xfId="0" applyNumberFormat="1" applyFont="1"/>
    <xf numFmtId="4" fontId="34" fillId="0" borderId="0" xfId="0" applyNumberFormat="1" applyFont="1"/>
    <xf numFmtId="0" fontId="81" fillId="0" borderId="0" xfId="0" applyFont="1"/>
    <xf numFmtId="4" fontId="81" fillId="0" borderId="0" xfId="0" applyNumberFormat="1" applyFont="1"/>
    <xf numFmtId="3" fontId="81" fillId="0" borderId="0" xfId="0" applyNumberFormat="1" applyFont="1"/>
    <xf numFmtId="181" fontId="0" fillId="17" borderId="22" xfId="0" applyNumberFormat="1" applyFill="1" applyBorder="1" applyAlignment="1">
      <alignment horizontal="right" vertical="center" indent="2"/>
    </xf>
    <xf numFmtId="181" fontId="0" fillId="17" borderId="126" xfId="0" applyNumberFormat="1" applyFill="1" applyBorder="1" applyAlignment="1">
      <alignment horizontal="center"/>
    </xf>
    <xf numFmtId="181" fontId="50" fillId="17" borderId="126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right"/>
    </xf>
    <xf numFmtId="3" fontId="11" fillId="0" borderId="0" xfId="0" applyNumberFormat="1" applyFont="1" applyAlignment="1">
      <alignment horizontal="right"/>
    </xf>
    <xf numFmtId="9" fontId="75" fillId="0" borderId="19" xfId="4" applyFont="1" applyBorder="1" applyAlignment="1">
      <alignment horizontal="right" indent="2"/>
    </xf>
    <xf numFmtId="0" fontId="77" fillId="0" borderId="0" xfId="0" applyFont="1" applyAlignment="1">
      <alignment horizontal="center" vertical="center"/>
    </xf>
    <xf numFmtId="0" fontId="77" fillId="0" borderId="0" xfId="0" applyFont="1" applyAlignment="1">
      <alignment wrapText="1"/>
    </xf>
    <xf numFmtId="0" fontId="77" fillId="0" borderId="0" xfId="0" applyFont="1"/>
    <xf numFmtId="0" fontId="77" fillId="0" borderId="22" xfId="0" applyFont="1" applyBorder="1" applyAlignment="1">
      <alignment horizontal="center" vertical="center"/>
    </xf>
    <xf numFmtId="0" fontId="77" fillId="0" borderId="22" xfId="0" applyFont="1" applyBorder="1" applyAlignment="1">
      <alignment vertical="center"/>
    </xf>
    <xf numFmtId="0" fontId="77" fillId="0" borderId="22" xfId="0" applyFont="1" applyBorder="1" applyAlignment="1">
      <alignment horizontal="center" vertical="center" wrapText="1"/>
    </xf>
    <xf numFmtId="0" fontId="77" fillId="0" borderId="22" xfId="0" applyFont="1" applyBorder="1" applyAlignment="1">
      <alignment vertical="center" wrapText="1"/>
    </xf>
    <xf numFmtId="0" fontId="7" fillId="0" borderId="22" xfId="0" applyFont="1" applyBorder="1" applyAlignment="1">
      <alignment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 wrapText="1"/>
    </xf>
    <xf numFmtId="0" fontId="77" fillId="33" borderId="22" xfId="0" applyFont="1" applyFill="1" applyBorder="1" applyAlignment="1">
      <alignment horizontal="center" vertical="center"/>
    </xf>
    <xf numFmtId="0" fontId="77" fillId="33" borderId="22" xfId="0" applyFont="1" applyFill="1" applyBorder="1" applyAlignment="1">
      <alignment wrapText="1"/>
    </xf>
    <xf numFmtId="0" fontId="77" fillId="34" borderId="22" xfId="0" applyFont="1" applyFill="1" applyBorder="1"/>
    <xf numFmtId="0" fontId="77" fillId="33" borderId="22" xfId="0" applyFont="1" applyFill="1" applyBorder="1"/>
    <xf numFmtId="0" fontId="83" fillId="0" borderId="0" xfId="0" applyFont="1"/>
    <xf numFmtId="0" fontId="83" fillId="31" borderId="22" xfId="0" applyFont="1" applyFill="1" applyBorder="1" applyAlignment="1">
      <alignment horizontal="center" vertical="center"/>
    </xf>
    <xf numFmtId="0" fontId="83" fillId="31" borderId="22" xfId="0" applyFont="1" applyFill="1" applyBorder="1" applyAlignment="1">
      <alignment horizontal="center" vertical="center" wrapText="1"/>
    </xf>
    <xf numFmtId="0" fontId="83" fillId="32" borderId="22" xfId="0" applyFont="1" applyFill="1" applyBorder="1" applyAlignment="1">
      <alignment horizontal="center" vertical="center" wrapText="1"/>
    </xf>
    <xf numFmtId="0" fontId="83" fillId="32" borderId="22" xfId="0" applyFont="1" applyFill="1" applyBorder="1" applyAlignment="1">
      <alignment horizontal="center" vertical="center"/>
    </xf>
    <xf numFmtId="0" fontId="84" fillId="30" borderId="22" xfId="0" applyFont="1" applyFill="1" applyBorder="1" applyAlignment="1">
      <alignment horizontal="center" vertical="center" wrapText="1"/>
    </xf>
    <xf numFmtId="0" fontId="85" fillId="30" borderId="22" xfId="0" applyFont="1" applyFill="1" applyBorder="1" applyAlignment="1">
      <alignment horizontal="left" vertical="top" wrapText="1"/>
    </xf>
    <xf numFmtId="0" fontId="85" fillId="30" borderId="22" xfId="0" applyFont="1" applyFill="1" applyBorder="1" applyAlignment="1">
      <alignment vertical="top" wrapText="1"/>
    </xf>
    <xf numFmtId="0" fontId="83" fillId="8" borderId="125" xfId="0" applyFont="1" applyFill="1" applyBorder="1" applyAlignment="1">
      <alignment vertical="top"/>
    </xf>
    <xf numFmtId="0" fontId="83" fillId="8" borderId="34" xfId="0" applyFont="1" applyFill="1" applyBorder="1" applyAlignment="1">
      <alignment vertical="top" wrapText="1"/>
    </xf>
    <xf numFmtId="0" fontId="86" fillId="0" borderId="22" xfId="0" applyFont="1" applyBorder="1" applyAlignment="1">
      <alignment horizontal="left" vertical="center" wrapText="1"/>
    </xf>
    <xf numFmtId="0" fontId="83" fillId="8" borderId="34" xfId="0" applyFont="1" applyFill="1" applyBorder="1" applyAlignment="1">
      <alignment vertical="top"/>
    </xf>
    <xf numFmtId="0" fontId="83" fillId="33" borderId="22" xfId="0" applyFont="1" applyFill="1" applyBorder="1" applyAlignment="1">
      <alignment horizontal="center" vertical="center"/>
    </xf>
    <xf numFmtId="0" fontId="83" fillId="33" borderId="22" xfId="0" applyFont="1" applyFill="1" applyBorder="1" applyAlignment="1">
      <alignment horizontal="center"/>
    </xf>
    <xf numFmtId="4" fontId="83" fillId="33" borderId="22" xfId="0" applyNumberFormat="1" applyFont="1" applyFill="1" applyBorder="1"/>
    <xf numFmtId="0" fontId="83" fillId="33" borderId="22" xfId="0" applyFont="1" applyFill="1" applyBorder="1"/>
    <xf numFmtId="44" fontId="77" fillId="0" borderId="0" xfId="7" applyFont="1"/>
    <xf numFmtId="44" fontId="0" fillId="0" borderId="0" xfId="7" applyFont="1"/>
    <xf numFmtId="44" fontId="85" fillId="30" borderId="22" xfId="7" applyFont="1" applyFill="1" applyBorder="1" applyAlignment="1">
      <alignment horizontal="left" vertical="top" wrapText="1"/>
    </xf>
    <xf numFmtId="44" fontId="83" fillId="8" borderId="34" xfId="7" applyFont="1" applyFill="1" applyBorder="1" applyAlignment="1">
      <alignment vertical="top" wrapText="1"/>
    </xf>
    <xf numFmtId="44" fontId="86" fillId="0" borderId="22" xfId="7" applyFont="1" applyBorder="1" applyAlignment="1">
      <alignment horizontal="left" vertical="center" wrapText="1"/>
    </xf>
    <xf numFmtId="44" fontId="83" fillId="8" borderId="34" xfId="7" applyFont="1" applyFill="1" applyBorder="1" applyAlignment="1">
      <alignment vertical="top"/>
    </xf>
    <xf numFmtId="44" fontId="83" fillId="32" borderId="22" xfId="7" applyFont="1" applyFill="1" applyBorder="1" applyAlignment="1">
      <alignment horizontal="center" vertical="center" wrapText="1"/>
    </xf>
    <xf numFmtId="169" fontId="0" fillId="0" borderId="0" xfId="0" applyNumberFormat="1"/>
    <xf numFmtId="0" fontId="0" fillId="0" borderId="22" xfId="0" applyBorder="1" applyAlignment="1" applyProtection="1">
      <alignment vertical="center" wrapText="1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3" fontId="0" fillId="0" borderId="22" xfId="0" applyNumberForma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4" fontId="0" fillId="0" borderId="22" xfId="0" applyNumberFormat="1" applyBorder="1" applyAlignment="1" applyProtection="1">
      <alignment vertical="center"/>
      <protection locked="0"/>
    </xf>
    <xf numFmtId="0" fontId="12" fillId="25" borderId="22" xfId="0" applyFont="1" applyFill="1" applyBorder="1" applyAlignment="1">
      <alignment horizontal="center" vertical="center" wrapText="1"/>
    </xf>
    <xf numFmtId="0" fontId="82" fillId="0" borderId="215" xfId="20" applyAlignment="1">
      <alignment vertical="top"/>
    </xf>
    <xf numFmtId="49" fontId="89" fillId="0" borderId="0" xfId="0" applyNumberFormat="1" applyFont="1"/>
    <xf numFmtId="0" fontId="89" fillId="0" borderId="0" xfId="0" applyFont="1"/>
    <xf numFmtId="0" fontId="90" fillId="0" borderId="0" xfId="0" applyFont="1"/>
    <xf numFmtId="170" fontId="90" fillId="0" borderId="0" xfId="0" applyNumberFormat="1" applyFont="1"/>
    <xf numFmtId="170" fontId="90" fillId="0" borderId="0" xfId="0" applyNumberFormat="1" applyFont="1" applyAlignment="1">
      <alignment horizontal="right"/>
    </xf>
    <xf numFmtId="49" fontId="91" fillId="0" borderId="0" xfId="0" applyNumberFormat="1" applyFont="1"/>
    <xf numFmtId="0" fontId="91" fillId="0" borderId="0" xfId="0" applyFont="1"/>
    <xf numFmtId="0" fontId="92" fillId="12" borderId="8" xfId="0" applyFont="1" applyFill="1" applyBorder="1" applyAlignment="1">
      <alignment horizontal="left" vertical="center"/>
    </xf>
    <xf numFmtId="0" fontId="92" fillId="12" borderId="23" xfId="0" applyFont="1" applyFill="1" applyBorder="1" applyAlignment="1">
      <alignment horizontal="left" vertical="center"/>
    </xf>
    <xf numFmtId="0" fontId="92" fillId="12" borderId="14" xfId="0" applyFont="1" applyFill="1" applyBorder="1" applyAlignment="1">
      <alignment horizontal="center" vertical="center"/>
    </xf>
    <xf numFmtId="0" fontId="92" fillId="12" borderId="23" xfId="0" applyFont="1" applyFill="1" applyBorder="1" applyAlignment="1">
      <alignment horizontal="center" vertical="center"/>
    </xf>
    <xf numFmtId="0" fontId="92" fillId="12" borderId="13" xfId="0" applyFont="1" applyFill="1" applyBorder="1" applyAlignment="1">
      <alignment horizontal="center" vertical="center"/>
    </xf>
    <xf numFmtId="0" fontId="92" fillId="12" borderId="14" xfId="0" applyFont="1" applyFill="1" applyBorder="1" applyAlignment="1">
      <alignment horizontal="center" vertical="center" wrapText="1"/>
    </xf>
    <xf numFmtId="0" fontId="92" fillId="12" borderId="23" xfId="0" applyFont="1" applyFill="1" applyBorder="1" applyAlignment="1">
      <alignment horizontal="center" vertical="center" wrapText="1"/>
    </xf>
    <xf numFmtId="170" fontId="92" fillId="12" borderId="23" xfId="0" applyNumberFormat="1" applyFont="1" applyFill="1" applyBorder="1" applyAlignment="1">
      <alignment horizontal="center" vertical="center" wrapText="1"/>
    </xf>
    <xf numFmtId="170" fontId="92" fillId="12" borderId="14" xfId="0" applyNumberFormat="1" applyFont="1" applyFill="1" applyBorder="1" applyAlignment="1">
      <alignment horizontal="center" vertical="center" wrapText="1"/>
    </xf>
    <xf numFmtId="170" fontId="92" fillId="12" borderId="13" xfId="0" applyNumberFormat="1" applyFont="1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 wrapText="1"/>
    </xf>
    <xf numFmtId="0" fontId="92" fillId="12" borderId="80" xfId="0" applyFont="1" applyFill="1" applyBorder="1" applyAlignment="1">
      <alignment vertical="top"/>
    </xf>
    <xf numFmtId="0" fontId="92" fillId="12" borderId="0" xfId="0" applyFont="1" applyFill="1" applyAlignment="1">
      <alignment vertical="top"/>
    </xf>
    <xf numFmtId="0" fontId="92" fillId="12" borderId="24" xfId="0" applyFont="1" applyFill="1" applyBorder="1" applyAlignment="1">
      <alignment horizontal="center" vertical="center"/>
    </xf>
    <xf numFmtId="0" fontId="92" fillId="12" borderId="0" xfId="0" applyFont="1" applyFill="1" applyAlignment="1">
      <alignment horizontal="center" vertical="center"/>
    </xf>
    <xf numFmtId="0" fontId="92" fillId="12" borderId="6" xfId="0" applyFont="1" applyFill="1" applyBorder="1" applyAlignment="1">
      <alignment horizontal="center" vertical="center"/>
    </xf>
    <xf numFmtId="0" fontId="92" fillId="12" borderId="24" xfId="0" applyFont="1" applyFill="1" applyBorder="1" applyAlignment="1">
      <alignment horizontal="center" vertical="center" wrapText="1"/>
    </xf>
    <xf numFmtId="0" fontId="92" fillId="12" borderId="0" xfId="0" applyFont="1" applyFill="1" applyAlignment="1">
      <alignment horizontal="center" vertical="center" wrapText="1"/>
    </xf>
    <xf numFmtId="170" fontId="92" fillId="12" borderId="0" xfId="0" applyNumberFormat="1" applyFont="1" applyFill="1" applyAlignment="1">
      <alignment horizontal="center" vertical="center" wrapText="1"/>
    </xf>
    <xf numFmtId="170" fontId="92" fillId="12" borderId="24" xfId="0" applyNumberFormat="1" applyFont="1" applyFill="1" applyBorder="1" applyAlignment="1">
      <alignment horizontal="center" vertical="center" wrapText="1"/>
    </xf>
    <xf numFmtId="170" fontId="92" fillId="12" borderId="6" xfId="0" applyNumberFormat="1" applyFont="1" applyFill="1" applyBorder="1" applyAlignment="1">
      <alignment horizontal="center" vertical="center" wrapText="1"/>
    </xf>
    <xf numFmtId="0" fontId="92" fillId="0" borderId="0" xfId="0" applyFont="1" applyAlignment="1">
      <alignment vertical="top" wrapText="1"/>
    </xf>
    <xf numFmtId="0" fontId="94" fillId="17" borderId="135" xfId="0" applyFont="1" applyFill="1" applyBorder="1" applyAlignment="1">
      <alignment horizontal="left" vertical="center"/>
    </xf>
    <xf numFmtId="0" fontId="95" fillId="0" borderId="24" xfId="0" applyFont="1" applyBorder="1" applyAlignment="1">
      <alignment horizontal="left" vertical="center"/>
    </xf>
    <xf numFmtId="0" fontId="95" fillId="0" borderId="0" xfId="0" applyFont="1" applyAlignment="1">
      <alignment horizontal="center" vertical="center"/>
    </xf>
    <xf numFmtId="0" fontId="95" fillId="0" borderId="6" xfId="0" applyFont="1" applyBorder="1" applyAlignment="1">
      <alignment horizontal="center" vertical="center"/>
    </xf>
    <xf numFmtId="0" fontId="96" fillId="0" borderId="0" xfId="0" applyFont="1" applyAlignment="1">
      <alignment horizontal="center" vertical="center"/>
    </xf>
    <xf numFmtId="0" fontId="96" fillId="0" borderId="6" xfId="0" applyFont="1" applyBorder="1" applyAlignment="1">
      <alignment horizontal="center" vertical="center"/>
    </xf>
    <xf numFmtId="0" fontId="90" fillId="0" borderId="24" xfId="0" applyFont="1" applyBorder="1" applyAlignment="1">
      <alignment horizontal="center" vertical="center"/>
    </xf>
    <xf numFmtId="0" fontId="90" fillId="0" borderId="0" xfId="0" applyFont="1" applyAlignment="1">
      <alignment horizontal="center" vertical="center"/>
    </xf>
    <xf numFmtId="170" fontId="90" fillId="0" borderId="0" xfId="0" applyNumberFormat="1" applyFont="1" applyAlignment="1">
      <alignment horizontal="center" vertical="center"/>
    </xf>
    <xf numFmtId="170" fontId="97" fillId="22" borderId="24" xfId="0" applyNumberFormat="1" applyFont="1" applyFill="1" applyBorder="1" applyAlignment="1">
      <alignment horizontal="center" vertical="center"/>
    </xf>
    <xf numFmtId="170" fontId="97" fillId="22" borderId="6" xfId="0" applyNumberFormat="1" applyFont="1" applyFill="1" applyBorder="1" applyAlignment="1">
      <alignment horizontal="center" vertical="center"/>
    </xf>
    <xf numFmtId="0" fontId="90" fillId="0" borderId="0" xfId="0" applyFont="1" applyAlignment="1">
      <alignment horizontal="left"/>
    </xf>
    <xf numFmtId="0" fontId="98" fillId="17" borderId="135" xfId="0" applyFont="1" applyFill="1" applyBorder="1" applyAlignment="1">
      <alignment horizontal="left" vertical="center"/>
    </xf>
    <xf numFmtId="0" fontId="96" fillId="0" borderId="24" xfId="0" applyFont="1" applyBorder="1" applyAlignment="1">
      <alignment horizontal="center" vertical="center"/>
    </xf>
    <xf numFmtId="0" fontId="97" fillId="22" borderId="131" xfId="0" applyFont="1" applyFill="1" applyBorder="1" applyAlignment="1">
      <alignment horizontal="center" vertical="center"/>
    </xf>
    <xf numFmtId="0" fontId="97" fillId="22" borderId="130" xfId="0" applyFont="1" applyFill="1" applyBorder="1" applyAlignment="1">
      <alignment horizontal="center" vertical="center"/>
    </xf>
    <xf numFmtId="173" fontId="99" fillId="17" borderId="130" xfId="0" applyNumberFormat="1" applyFont="1" applyFill="1" applyBorder="1" applyAlignment="1">
      <alignment horizontal="right" vertical="center"/>
    </xf>
    <xf numFmtId="0" fontId="99" fillId="17" borderId="130" xfId="0" applyFont="1" applyFill="1" applyBorder="1" applyAlignment="1">
      <alignment horizontal="center" vertical="center"/>
    </xf>
    <xf numFmtId="0" fontId="99" fillId="17" borderId="164" xfId="0" applyFont="1" applyFill="1" applyBorder="1" applyAlignment="1">
      <alignment horizontal="center" vertical="center"/>
    </xf>
    <xf numFmtId="170" fontId="99" fillId="17" borderId="164" xfId="0" applyNumberFormat="1" applyFont="1" applyFill="1" applyBorder="1" applyAlignment="1">
      <alignment horizontal="center" vertical="center"/>
    </xf>
    <xf numFmtId="170" fontId="97" fillId="22" borderId="24" xfId="0" applyNumberFormat="1" applyFont="1" applyFill="1" applyBorder="1" applyAlignment="1">
      <alignment horizontal="right" vertical="center"/>
    </xf>
    <xf numFmtId="170" fontId="97" fillId="22" borderId="6" xfId="0" applyNumberFormat="1" applyFont="1" applyFill="1" applyBorder="1" applyAlignment="1">
      <alignment horizontal="right" vertical="center"/>
    </xf>
    <xf numFmtId="173" fontId="90" fillId="17" borderId="130" xfId="0" applyNumberFormat="1" applyFont="1" applyFill="1" applyBorder="1" applyAlignment="1">
      <alignment horizontal="right" vertical="center"/>
    </xf>
    <xf numFmtId="0" fontId="100" fillId="0" borderId="0" xfId="0" applyFont="1"/>
    <xf numFmtId="0" fontId="101" fillId="28" borderId="213" xfId="0" applyFont="1" applyFill="1" applyBorder="1" applyAlignment="1">
      <alignment vertical="center" wrapText="1"/>
    </xf>
    <xf numFmtId="177" fontId="101" fillId="28" borderId="213" xfId="10" applyNumberFormat="1" applyFont="1" applyFill="1" applyBorder="1" applyAlignment="1">
      <alignment horizontal="right" vertical="center" wrapText="1"/>
    </xf>
    <xf numFmtId="9" fontId="102" fillId="0" borderId="0" xfId="4" applyFont="1"/>
    <xf numFmtId="44" fontId="100" fillId="0" borderId="0" xfId="7" applyFont="1"/>
    <xf numFmtId="177" fontId="103" fillId="28" borderId="213" xfId="10" applyNumberFormat="1" applyFont="1" applyFill="1" applyBorder="1" applyAlignment="1">
      <alignment horizontal="right" vertical="center" wrapText="1"/>
    </xf>
    <xf numFmtId="44" fontId="103" fillId="0" borderId="0" xfId="7" applyFont="1"/>
    <xf numFmtId="0" fontId="104" fillId="17" borderId="135" xfId="0" applyFont="1" applyFill="1" applyBorder="1" applyAlignment="1">
      <alignment horizontal="left" vertical="center"/>
    </xf>
    <xf numFmtId="0" fontId="90" fillId="0" borderId="131" xfId="0" applyFont="1" applyBorder="1" applyAlignment="1">
      <alignment horizontal="center" vertical="center"/>
    </xf>
    <xf numFmtId="0" fontId="90" fillId="0" borderId="130" xfId="0" applyFont="1" applyBorder="1" applyAlignment="1">
      <alignment horizontal="center" vertical="center"/>
    </xf>
    <xf numFmtId="173" fontId="90" fillId="0" borderId="130" xfId="0" applyNumberFormat="1" applyFont="1" applyBorder="1" applyAlignment="1">
      <alignment horizontal="right" vertical="center"/>
    </xf>
    <xf numFmtId="173" fontId="99" fillId="0" borderId="130" xfId="0" applyNumberFormat="1" applyFont="1" applyBorder="1" applyAlignment="1">
      <alignment horizontal="right" vertical="center"/>
    </xf>
    <xf numFmtId="0" fontId="99" fillId="0" borderId="130" xfId="0" applyFont="1" applyBorder="1" applyAlignment="1">
      <alignment horizontal="center" vertical="center"/>
    </xf>
    <xf numFmtId="0" fontId="99" fillId="0" borderId="164" xfId="0" applyFont="1" applyBorder="1" applyAlignment="1">
      <alignment horizontal="center" vertical="center"/>
    </xf>
    <xf numFmtId="170" fontId="99" fillId="0" borderId="164" xfId="0" applyNumberFormat="1" applyFont="1" applyBorder="1" applyAlignment="1">
      <alignment horizontal="center" vertical="center"/>
    </xf>
    <xf numFmtId="170" fontId="90" fillId="0" borderId="0" xfId="0" applyNumberFormat="1" applyFont="1" applyAlignment="1">
      <alignment horizontal="left"/>
    </xf>
    <xf numFmtId="0" fontId="105" fillId="17" borderId="135" xfId="0" applyFont="1" applyFill="1" applyBorder="1" applyAlignment="1">
      <alignment horizontal="left" vertical="center"/>
    </xf>
    <xf numFmtId="2" fontId="90" fillId="0" borderId="0" xfId="0" applyNumberFormat="1" applyFont="1"/>
    <xf numFmtId="170" fontId="90" fillId="0" borderId="22" xfId="0" applyNumberFormat="1" applyFont="1" applyBorder="1"/>
    <xf numFmtId="0" fontId="96" fillId="0" borderId="5" xfId="0" applyFont="1" applyBorder="1" applyAlignment="1">
      <alignment horizontal="center" vertical="center"/>
    </xf>
    <xf numFmtId="0" fontId="106" fillId="14" borderId="15" xfId="0" applyFont="1" applyFill="1" applyBorder="1" applyAlignment="1">
      <alignment horizontal="left" vertical="center"/>
    </xf>
    <xf numFmtId="0" fontId="106" fillId="14" borderId="29" xfId="0" applyFont="1" applyFill="1" applyBorder="1"/>
    <xf numFmtId="0" fontId="106" fillId="14" borderId="29" xfId="0" applyFont="1" applyFill="1" applyBorder="1" applyAlignment="1">
      <alignment horizontal="center" vertical="center"/>
    </xf>
    <xf numFmtId="0" fontId="106" fillId="14" borderId="26" xfId="0" applyFont="1" applyFill="1" applyBorder="1" applyAlignment="1">
      <alignment horizontal="center" vertical="center"/>
    </xf>
    <xf numFmtId="170" fontId="106" fillId="14" borderId="26" xfId="0" applyNumberFormat="1" applyFont="1" applyFill="1" applyBorder="1" applyAlignment="1">
      <alignment horizontal="center" vertical="center"/>
    </xf>
    <xf numFmtId="170" fontId="107" fillId="14" borderId="28" xfId="0" applyNumberFormat="1" applyFont="1" applyFill="1" applyBorder="1" applyAlignment="1">
      <alignment horizontal="right" vertical="center"/>
    </xf>
    <xf numFmtId="170" fontId="107" fillId="14" borderId="30" xfId="0" applyNumberFormat="1" applyFont="1" applyFill="1" applyBorder="1" applyAlignment="1">
      <alignment horizontal="right" vertical="center"/>
    </xf>
    <xf numFmtId="170" fontId="107" fillId="14" borderId="28" xfId="0" applyNumberFormat="1" applyFont="1" applyFill="1" applyBorder="1" applyAlignment="1">
      <alignment horizontal="center" vertical="center"/>
    </xf>
    <xf numFmtId="170" fontId="107" fillId="14" borderId="30" xfId="0" applyNumberFormat="1" applyFont="1" applyFill="1" applyBorder="1" applyAlignment="1">
      <alignment horizontal="center" vertical="center"/>
    </xf>
    <xf numFmtId="171" fontId="95" fillId="0" borderId="0" xfId="0" applyNumberFormat="1" applyFont="1"/>
    <xf numFmtId="0" fontId="104" fillId="0" borderId="0" xfId="0" applyFont="1"/>
    <xf numFmtId="6" fontId="90" fillId="0" borderId="0" xfId="0" applyNumberFormat="1" applyFont="1"/>
    <xf numFmtId="0" fontId="102" fillId="0" borderId="0" xfId="0" pivotButton="1" applyFont="1"/>
    <xf numFmtId="0" fontId="102" fillId="0" borderId="0" xfId="0" applyFont="1"/>
    <xf numFmtId="0" fontId="102" fillId="0" borderId="0" xfId="0" applyFont="1" applyAlignment="1">
      <alignment horizontal="left"/>
    </xf>
    <xf numFmtId="0" fontId="108" fillId="0" borderId="0" xfId="0" applyFont="1" applyAlignment="1">
      <alignment vertical="top"/>
    </xf>
    <xf numFmtId="0" fontId="108" fillId="0" borderId="0" xfId="0" applyFont="1" applyAlignment="1">
      <alignment horizontal="center" vertical="top"/>
    </xf>
    <xf numFmtId="9" fontId="108" fillId="0" borderId="0" xfId="0" applyNumberFormat="1" applyFont="1" applyAlignment="1">
      <alignment vertical="top"/>
    </xf>
    <xf numFmtId="0" fontId="0" fillId="0" borderId="22" xfId="0" applyBorder="1" applyAlignment="1">
      <alignment horizontal="center" wrapText="1"/>
    </xf>
    <xf numFmtId="0" fontId="109" fillId="0" borderId="22" xfId="0" applyFont="1" applyBorder="1" applyAlignment="1" applyProtection="1">
      <alignment horizontal="left" vertical="center" wrapText="1"/>
      <protection locked="0"/>
    </xf>
    <xf numFmtId="0" fontId="109" fillId="0" borderId="86" xfId="0" applyFont="1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10" fontId="0" fillId="0" borderId="22" xfId="0" applyNumberFormat="1" applyBorder="1" applyAlignment="1" applyProtection="1">
      <alignment vertical="center"/>
      <protection locked="0"/>
    </xf>
    <xf numFmtId="4" fontId="0" fillId="0" borderId="86" xfId="0" applyNumberFormat="1" applyBorder="1" applyAlignment="1" applyProtection="1">
      <alignment vertical="center"/>
      <protection locked="0"/>
    </xf>
    <xf numFmtId="0" fontId="0" fillId="0" borderId="22" xfId="0" applyBorder="1" applyAlignment="1" applyProtection="1">
      <alignment horizontal="right" vertical="center"/>
      <protection locked="0"/>
    </xf>
    <xf numFmtId="0" fontId="0" fillId="0" borderId="86" xfId="0" applyBorder="1" applyAlignment="1" applyProtection="1">
      <alignment horizontal="center" vertical="center"/>
      <protection locked="0"/>
    </xf>
    <xf numFmtId="0" fontId="0" fillId="0" borderId="86" xfId="0" applyBorder="1" applyAlignment="1" applyProtection="1">
      <alignment vertical="center"/>
      <protection locked="0"/>
    </xf>
    <xf numFmtId="10" fontId="0" fillId="0" borderId="86" xfId="0" applyNumberFormat="1" applyBorder="1" applyAlignment="1" applyProtection="1">
      <alignment vertical="center"/>
      <protection locked="0"/>
    </xf>
    <xf numFmtId="0" fontId="83" fillId="0" borderId="0" xfId="0" applyFont="1" applyAlignment="1">
      <alignment wrapText="1"/>
    </xf>
    <xf numFmtId="0" fontId="83" fillId="33" borderId="22" xfId="0" applyFont="1" applyFill="1" applyBorder="1" applyAlignment="1">
      <alignment horizontal="center" wrapText="1"/>
    </xf>
    <xf numFmtId="4" fontId="0" fillId="0" borderId="22" xfId="0" applyNumberFormat="1" applyBorder="1" applyAlignment="1" applyProtection="1">
      <alignment horizontal="left" vertical="center" wrapText="1"/>
      <protection locked="0"/>
    </xf>
    <xf numFmtId="4" fontId="0" fillId="0" borderId="86" xfId="0" applyNumberFormat="1" applyBorder="1" applyAlignment="1" applyProtection="1">
      <alignment horizontal="left" vertical="center" wrapText="1"/>
      <protection locked="0"/>
    </xf>
    <xf numFmtId="0" fontId="83" fillId="33" borderId="22" xfId="0" applyFont="1" applyFill="1" applyBorder="1" applyAlignment="1">
      <alignment wrapText="1"/>
    </xf>
    <xf numFmtId="4" fontId="0" fillId="0" borderId="86" xfId="0" applyNumberFormat="1" applyBorder="1" applyAlignment="1" applyProtection="1">
      <alignment vertical="center" wrapText="1"/>
      <protection locked="0"/>
    </xf>
    <xf numFmtId="0" fontId="0" fillId="6" borderId="22" xfId="0" applyFill="1" applyBorder="1" applyAlignment="1">
      <alignment horizontal="center" wrapText="1"/>
    </xf>
    <xf numFmtId="0" fontId="11" fillId="24" borderId="80" xfId="0" applyFont="1" applyFill="1" applyBorder="1" applyAlignment="1">
      <alignment vertical="center" wrapText="1"/>
    </xf>
    <xf numFmtId="4" fontId="0" fillId="24" borderId="20" xfId="0" applyNumberFormat="1" applyFill="1" applyBorder="1" applyAlignment="1">
      <alignment horizontal="right" vertical="center" indent="2"/>
    </xf>
    <xf numFmtId="4" fontId="0" fillId="24" borderId="0" xfId="0" applyNumberFormat="1" applyFill="1" applyAlignment="1">
      <alignment horizontal="right" vertical="center" indent="2"/>
    </xf>
    <xf numFmtId="4" fontId="11" fillId="24" borderId="20" xfId="0" applyNumberFormat="1" applyFont="1" applyFill="1" applyBorder="1" applyAlignment="1">
      <alignment horizontal="right" vertical="center"/>
    </xf>
    <xf numFmtId="3" fontId="0" fillId="24" borderId="20" xfId="0" applyNumberFormat="1" applyFill="1" applyBorder="1" applyAlignment="1">
      <alignment horizontal="right" vertical="center" indent="1"/>
    </xf>
    <xf numFmtId="3" fontId="0" fillId="24" borderId="0" xfId="0" applyNumberFormat="1" applyFill="1" applyAlignment="1">
      <alignment horizontal="right" vertical="center" indent="2"/>
    </xf>
    <xf numFmtId="3" fontId="11" fillId="24" borderId="80" xfId="0" applyNumberFormat="1" applyFont="1" applyFill="1" applyBorder="1" applyAlignment="1">
      <alignment horizontal="right" vertical="center" indent="2"/>
    </xf>
    <xf numFmtId="3" fontId="0" fillId="24" borderId="20" xfId="0" applyNumberFormat="1" applyFill="1" applyBorder="1" applyAlignment="1">
      <alignment horizontal="right" vertical="center" indent="2"/>
    </xf>
    <xf numFmtId="3" fontId="0" fillId="24" borderId="126" xfId="0" applyNumberFormat="1" applyFill="1" applyBorder="1" applyAlignment="1">
      <alignment horizontal="right" vertical="center" indent="2"/>
    </xf>
    <xf numFmtId="3" fontId="0" fillId="24" borderId="40" xfId="0" applyNumberFormat="1" applyFill="1" applyBorder="1" applyAlignment="1">
      <alignment horizontal="right" vertical="center" indent="2"/>
    </xf>
    <xf numFmtId="4" fontId="11" fillId="24" borderId="20" xfId="0" applyNumberFormat="1" applyFont="1" applyFill="1" applyBorder="1" applyAlignment="1">
      <alignment horizontal="right" vertical="center" indent="1"/>
    </xf>
    <xf numFmtId="9" fontId="5" fillId="24" borderId="20" xfId="4" applyFill="1" applyBorder="1" applyAlignment="1">
      <alignment horizontal="right" vertical="center"/>
    </xf>
    <xf numFmtId="180" fontId="0" fillId="24" borderId="116" xfId="0" applyNumberFormat="1" applyFill="1" applyBorder="1" applyAlignment="1">
      <alignment horizontal="right" vertical="center" indent="2"/>
    </xf>
    <xf numFmtId="175" fontId="0" fillId="24" borderId="86" xfId="0" applyNumberFormat="1" applyFill="1" applyBorder="1" applyAlignment="1">
      <alignment horizontal="right" vertical="center" indent="2"/>
    </xf>
    <xf numFmtId="175" fontId="0" fillId="24" borderId="40" xfId="0" applyNumberFormat="1" applyFill="1" applyBorder="1" applyAlignment="1">
      <alignment horizontal="right" vertical="center" indent="2"/>
    </xf>
    <xf numFmtId="9" fontId="5" fillId="17" borderId="20" xfId="4" applyFill="1" applyBorder="1" applyAlignment="1">
      <alignment horizontal="right" vertical="center"/>
    </xf>
    <xf numFmtId="3" fontId="11" fillId="24" borderId="116" xfId="0" applyNumberFormat="1" applyFont="1" applyFill="1" applyBorder="1" applyAlignment="1">
      <alignment horizontal="right" vertical="center" indent="1"/>
    </xf>
    <xf numFmtId="3" fontId="0" fillId="24" borderId="116" xfId="0" applyNumberFormat="1" applyFill="1" applyBorder="1" applyAlignment="1">
      <alignment horizontal="right" vertical="center" indent="1"/>
    </xf>
    <xf numFmtId="3" fontId="0" fillId="24" borderId="86" xfId="0" applyNumberFormat="1" applyFill="1" applyBorder="1" applyAlignment="1">
      <alignment horizontal="right" vertical="center" indent="1"/>
    </xf>
    <xf numFmtId="175" fontId="11" fillId="24" borderId="86" xfId="0" applyNumberFormat="1" applyFont="1" applyFill="1" applyBorder="1" applyAlignment="1">
      <alignment horizontal="right" vertical="center" indent="2"/>
    </xf>
    <xf numFmtId="180" fontId="0" fillId="24" borderId="86" xfId="0" applyNumberFormat="1" applyFill="1" applyBorder="1" applyAlignment="1">
      <alignment horizontal="right" vertical="center" indent="2"/>
    </xf>
    <xf numFmtId="3" fontId="0" fillId="0" borderId="0" xfId="0" applyNumberFormat="1"/>
    <xf numFmtId="9" fontId="0" fillId="24" borderId="20" xfId="4" applyFont="1" applyFill="1" applyBorder="1" applyAlignment="1">
      <alignment horizontal="right" vertical="center" indent="2"/>
    </xf>
    <xf numFmtId="9" fontId="0" fillId="24" borderId="0" xfId="4" applyFont="1" applyFill="1" applyBorder="1" applyAlignment="1">
      <alignment horizontal="right" vertical="center" indent="2"/>
    </xf>
    <xf numFmtId="4" fontId="0" fillId="35" borderId="20" xfId="0" applyNumberFormat="1" applyFill="1" applyBorder="1" applyAlignment="1">
      <alignment horizontal="right" vertical="center" indent="2"/>
    </xf>
    <xf numFmtId="0" fontId="0" fillId="17" borderId="20" xfId="0" applyFill="1" applyBorder="1"/>
    <xf numFmtId="0" fontId="0" fillId="24" borderId="22" xfId="0" applyFill="1" applyBorder="1"/>
    <xf numFmtId="9" fontId="0" fillId="0" borderId="22" xfId="0" applyNumberFormat="1" applyBorder="1"/>
    <xf numFmtId="3" fontId="0" fillId="0" borderId="22" xfId="0" applyNumberFormat="1" applyBorder="1"/>
    <xf numFmtId="2" fontId="0" fillId="0" borderId="22" xfId="0" applyNumberFormat="1" applyBorder="1"/>
    <xf numFmtId="4" fontId="0" fillId="0" borderId="22" xfId="0" applyNumberFormat="1" applyBorder="1"/>
    <xf numFmtId="0" fontId="112" fillId="17" borderId="22" xfId="0" applyFont="1" applyFill="1" applyBorder="1" applyAlignment="1">
      <alignment horizontal="right" vertical="top" wrapText="1"/>
    </xf>
    <xf numFmtId="0" fontId="77" fillId="33" borderId="86" xfId="0" applyFont="1" applyFill="1" applyBorder="1" applyAlignment="1">
      <alignment horizontal="center" vertical="center"/>
    </xf>
    <xf numFmtId="0" fontId="77" fillId="34" borderId="86" xfId="0" applyFont="1" applyFill="1" applyBorder="1"/>
    <xf numFmtId="0" fontId="77" fillId="33" borderId="86" xfId="0" applyFont="1" applyFill="1" applyBorder="1"/>
    <xf numFmtId="4" fontId="83" fillId="33" borderId="86" xfId="0" applyNumberFormat="1" applyFont="1" applyFill="1" applyBorder="1"/>
    <xf numFmtId="0" fontId="83" fillId="33" borderId="86" xfId="0" applyFont="1" applyFill="1" applyBorder="1"/>
    <xf numFmtId="0" fontId="83" fillId="33" borderId="86" xfId="0" applyFont="1" applyFill="1" applyBorder="1" applyAlignment="1">
      <alignment wrapText="1"/>
    </xf>
    <xf numFmtId="0" fontId="77" fillId="33" borderId="86" xfId="0" applyFont="1" applyFill="1" applyBorder="1" applyAlignment="1">
      <alignment wrapText="1"/>
    </xf>
    <xf numFmtId="0" fontId="83" fillId="33" borderId="22" xfId="0" applyFont="1" applyFill="1" applyBorder="1" applyAlignment="1">
      <alignment horizontal="left" vertical="center"/>
    </xf>
    <xf numFmtId="4" fontId="0" fillId="0" borderId="22" xfId="0" applyNumberFormat="1" applyBorder="1" applyAlignment="1" applyProtection="1">
      <alignment vertical="center" wrapText="1"/>
      <protection locked="0"/>
    </xf>
    <xf numFmtId="4" fontId="83" fillId="33" borderId="0" xfId="0" applyNumberFormat="1" applyFont="1" applyFill="1"/>
    <xf numFmtId="0" fontId="0" fillId="25" borderId="22" xfId="0" applyFill="1" applyBorder="1" applyAlignment="1">
      <alignment horizontal="center" wrapText="1"/>
    </xf>
    <xf numFmtId="0" fontId="0" fillId="25" borderId="22" xfId="0" applyFill="1" applyBorder="1" applyAlignment="1">
      <alignment horizontal="center"/>
    </xf>
    <xf numFmtId="1" fontId="0" fillId="25" borderId="22" xfId="0" applyNumberFormat="1" applyFill="1" applyBorder="1" applyAlignment="1">
      <alignment horizontal="center"/>
    </xf>
    <xf numFmtId="9" fontId="0" fillId="17" borderId="60" xfId="4" applyFont="1" applyFill="1" applyBorder="1" applyAlignment="1">
      <alignment horizontal="right" vertical="center" indent="2"/>
    </xf>
    <xf numFmtId="0" fontId="56" fillId="0" borderId="0" xfId="0" applyFont="1" applyAlignment="1">
      <alignment horizontal="center"/>
    </xf>
    <xf numFmtId="0" fontId="113" fillId="17" borderId="166" xfId="0" applyFont="1" applyFill="1" applyBorder="1" applyAlignment="1">
      <alignment horizontal="center" vertical="center"/>
    </xf>
    <xf numFmtId="8" fontId="113" fillId="17" borderId="166" xfId="0" applyNumberFormat="1" applyFont="1" applyFill="1" applyBorder="1" applyAlignment="1">
      <alignment horizontal="center" vertical="center"/>
    </xf>
    <xf numFmtId="8" fontId="113" fillId="17" borderId="166" xfId="7" applyNumberFormat="1" applyFont="1" applyFill="1" applyBorder="1" applyAlignment="1">
      <alignment horizontal="center" vertical="center"/>
    </xf>
    <xf numFmtId="0" fontId="113" fillId="17" borderId="135" xfId="0" applyFont="1" applyFill="1" applyBorder="1" applyAlignment="1">
      <alignment horizontal="center" vertical="center"/>
    </xf>
    <xf numFmtId="2" fontId="0" fillId="0" borderId="86" xfId="0" applyNumberFormat="1" applyBorder="1" applyAlignment="1" applyProtection="1">
      <alignment vertical="center"/>
      <protection locked="0"/>
    </xf>
    <xf numFmtId="2" fontId="83" fillId="8" borderId="34" xfId="0" applyNumberFormat="1" applyFont="1" applyFill="1" applyBorder="1" applyAlignment="1">
      <alignment vertical="top"/>
    </xf>
    <xf numFmtId="4" fontId="83" fillId="8" borderId="34" xfId="0" applyNumberFormat="1" applyFont="1" applyFill="1" applyBorder="1" applyAlignment="1">
      <alignment vertical="top"/>
    </xf>
    <xf numFmtId="10" fontId="83" fillId="8" borderId="34" xfId="0" applyNumberFormat="1" applyFont="1" applyFill="1" applyBorder="1" applyAlignment="1">
      <alignment vertical="top"/>
    </xf>
    <xf numFmtId="4" fontId="83" fillId="8" borderId="34" xfId="0" applyNumberFormat="1" applyFont="1" applyFill="1" applyBorder="1" applyAlignment="1">
      <alignment vertical="top" wrapText="1"/>
    </xf>
    <xf numFmtId="4" fontId="83" fillId="8" borderId="34" xfId="0" applyNumberFormat="1" applyFont="1" applyFill="1" applyBorder="1" applyAlignment="1">
      <alignment horizontal="left" vertical="top" wrapText="1"/>
    </xf>
    <xf numFmtId="0" fontId="0" fillId="0" borderId="86" xfId="0" applyBorder="1" applyAlignment="1" applyProtection="1">
      <alignment vertical="center" wrapText="1"/>
      <protection locked="0"/>
    </xf>
    <xf numFmtId="0" fontId="83" fillId="17" borderId="22" xfId="0" applyFont="1" applyFill="1" applyBorder="1" applyAlignment="1">
      <alignment horizontal="center" vertical="center" wrapText="1"/>
    </xf>
    <xf numFmtId="179" fontId="0" fillId="0" borderId="22" xfId="7" applyNumberFormat="1" applyFont="1" applyBorder="1" applyAlignment="1" applyProtection="1">
      <alignment vertical="center"/>
      <protection locked="0"/>
    </xf>
    <xf numFmtId="3" fontId="0" fillId="0" borderId="22" xfId="7" applyNumberFormat="1" applyFont="1" applyBorder="1" applyAlignment="1" applyProtection="1">
      <alignment vertical="center"/>
      <protection locked="0"/>
    </xf>
    <xf numFmtId="9" fontId="7" fillId="0" borderId="0" xfId="4" applyFont="1" applyAlignment="1">
      <alignment vertical="top"/>
    </xf>
    <xf numFmtId="0" fontId="112" fillId="17" borderId="22" xfId="0" applyFont="1" applyFill="1" applyBorder="1" applyAlignment="1">
      <alignment horizontal="right" vertical="center" wrapText="1"/>
    </xf>
    <xf numFmtId="4" fontId="0" fillId="17" borderId="22" xfId="0" applyNumberFormat="1" applyFill="1" applyBorder="1" applyAlignment="1" applyProtection="1">
      <alignment horizontal="right" vertical="center"/>
      <protection locked="0"/>
    </xf>
    <xf numFmtId="0" fontId="61" fillId="0" borderId="0" xfId="6" applyAlignment="1">
      <alignment vertical="top"/>
    </xf>
    <xf numFmtId="0" fontId="115" fillId="0" borderId="0" xfId="0" applyFont="1" applyAlignment="1">
      <alignment horizontal="left"/>
    </xf>
    <xf numFmtId="0" fontId="116" fillId="0" borderId="0" xfId="0" applyFont="1" applyAlignment="1">
      <alignment horizontal="center"/>
    </xf>
    <xf numFmtId="0" fontId="116" fillId="0" borderId="0" xfId="0" applyFont="1"/>
    <xf numFmtId="0" fontId="117" fillId="24" borderId="22" xfId="0" applyFont="1" applyFill="1" applyBorder="1" applyAlignment="1">
      <alignment horizontal="center" wrapText="1"/>
    </xf>
    <xf numFmtId="0" fontId="0" fillId="24" borderId="22" xfId="0" applyFill="1" applyBorder="1" applyAlignment="1">
      <alignment horizontal="center" vertical="center" wrapText="1"/>
    </xf>
    <xf numFmtId="0" fontId="0" fillId="24" borderId="22" xfId="0" applyFill="1" applyBorder="1" applyAlignment="1">
      <alignment horizontal="center" vertical="center"/>
    </xf>
    <xf numFmtId="0" fontId="7" fillId="24" borderId="22" xfId="0" applyFont="1" applyFill="1" applyBorder="1" applyAlignment="1">
      <alignment horizontal="center" vertical="center" wrapText="1"/>
    </xf>
    <xf numFmtId="0" fontId="111" fillId="0" borderId="0" xfId="0" applyFont="1"/>
    <xf numFmtId="0" fontId="56" fillId="0" borderId="0" xfId="0" applyFont="1" applyAlignment="1">
      <alignment horizontal="right"/>
    </xf>
    <xf numFmtId="10" fontId="56" fillId="0" borderId="0" xfId="0" applyNumberFormat="1" applyFont="1" applyAlignment="1">
      <alignment horizontal="right"/>
    </xf>
    <xf numFmtId="4" fontId="56" fillId="0" borderId="0" xfId="0" applyNumberFormat="1" applyFont="1" applyAlignment="1">
      <alignment horizontal="center"/>
    </xf>
    <xf numFmtId="175" fontId="56" fillId="0" borderId="0" xfId="0" applyNumberFormat="1" applyFont="1"/>
    <xf numFmtId="175" fontId="56" fillId="0" borderId="0" xfId="0" applyNumberFormat="1" applyFont="1" applyAlignment="1">
      <alignment horizontal="right"/>
    </xf>
    <xf numFmtId="0" fontId="111" fillId="0" borderId="0" xfId="0" applyFont="1" applyAlignment="1">
      <alignment horizontal="center"/>
    </xf>
    <xf numFmtId="175" fontId="111" fillId="0" borderId="0" xfId="0" applyNumberFormat="1" applyFont="1"/>
    <xf numFmtId="175" fontId="111" fillId="0" borderId="0" xfId="0" applyNumberFormat="1" applyFont="1" applyAlignment="1">
      <alignment horizontal="right"/>
    </xf>
    <xf numFmtId="174" fontId="56" fillId="0" borderId="0" xfId="4" applyNumberFormat="1" applyFont="1" applyAlignment="1">
      <alignment horizontal="right"/>
    </xf>
    <xf numFmtId="0" fontId="118" fillId="0" borderId="31" xfId="0" applyFont="1" applyBorder="1" applyAlignment="1">
      <alignment horizontal="center" vertical="center" wrapText="1"/>
    </xf>
    <xf numFmtId="0" fontId="119" fillId="0" borderId="31" xfId="0" applyFont="1" applyBorder="1" applyAlignment="1">
      <alignment horizontal="center" vertical="center" wrapText="1"/>
    </xf>
    <xf numFmtId="0" fontId="7" fillId="0" borderId="0" xfId="0" applyFont="1"/>
    <xf numFmtId="0" fontId="82" fillId="0" borderId="215" xfId="20"/>
    <xf numFmtId="0" fontId="114" fillId="0" borderId="216" xfId="22" applyAlignment="1"/>
    <xf numFmtId="0" fontId="7" fillId="0" borderId="22" xfId="0" applyFont="1" applyBorder="1"/>
    <xf numFmtId="1" fontId="7" fillId="0" borderId="22" xfId="0" applyNumberFormat="1" applyFont="1" applyBorder="1"/>
    <xf numFmtId="3" fontId="7" fillId="0" borderId="22" xfId="0" applyNumberFormat="1" applyFont="1" applyBorder="1"/>
    <xf numFmtId="0" fontId="7" fillId="24" borderId="22" xfId="0" applyFont="1" applyFill="1" applyBorder="1"/>
    <xf numFmtId="0" fontId="114" fillId="0" borderId="216" xfId="22" applyAlignment="1">
      <alignment vertical="top"/>
    </xf>
    <xf numFmtId="1" fontId="7" fillId="0" borderId="22" xfId="0" applyNumberFormat="1" applyFont="1" applyBorder="1" applyAlignment="1">
      <alignment vertical="center"/>
    </xf>
    <xf numFmtId="44" fontId="7" fillId="0" borderId="22" xfId="7" applyFont="1" applyBorder="1" applyAlignment="1">
      <alignment vertical="center"/>
    </xf>
    <xf numFmtId="2" fontId="7" fillId="0" borderId="22" xfId="0" applyNumberFormat="1" applyFont="1" applyBorder="1" applyAlignment="1">
      <alignment vertical="center"/>
    </xf>
    <xf numFmtId="0" fontId="114" fillId="0" borderId="216" xfId="22"/>
    <xf numFmtId="0" fontId="0" fillId="0" borderId="22" xfId="0" applyBorder="1" applyAlignment="1">
      <alignment vertical="center"/>
    </xf>
    <xf numFmtId="4" fontId="63" fillId="24" borderId="20" xfId="0" applyNumberFormat="1" applyFont="1" applyFill="1" applyBorder="1" applyAlignment="1">
      <alignment horizontal="right" vertical="center" indent="1"/>
    </xf>
    <xf numFmtId="4" fontId="116" fillId="24" borderId="20" xfId="0" applyNumberFormat="1" applyFont="1" applyFill="1" applyBorder="1" applyAlignment="1">
      <alignment horizontal="right" vertical="center" indent="1"/>
    </xf>
    <xf numFmtId="0" fontId="0" fillId="0" borderId="22" xfId="0" applyBorder="1" applyAlignment="1">
      <alignment horizontal="right"/>
    </xf>
    <xf numFmtId="179" fontId="116" fillId="0" borderId="22" xfId="7" applyNumberFormat="1" applyFont="1" applyBorder="1" applyAlignment="1">
      <alignment vertical="center"/>
    </xf>
    <xf numFmtId="179" fontId="116" fillId="0" borderId="22" xfId="7" applyNumberFormat="1" applyFont="1" applyBorder="1"/>
    <xf numFmtId="179" fontId="116" fillId="0" borderId="22" xfId="0" applyNumberFormat="1" applyFont="1" applyBorder="1" applyAlignment="1">
      <alignment horizontal="center"/>
    </xf>
    <xf numFmtId="1" fontId="116" fillId="0" borderId="22" xfId="0" applyNumberFormat="1" applyFont="1" applyBorder="1" applyAlignment="1">
      <alignment horizontal="right"/>
    </xf>
    <xf numFmtId="0" fontId="63" fillId="24" borderId="80" xfId="0" applyFont="1" applyFill="1" applyBorder="1" applyAlignment="1">
      <alignment vertical="center" wrapText="1"/>
    </xf>
    <xf numFmtId="0" fontId="20" fillId="8" borderId="62" xfId="0" applyFont="1" applyFill="1" applyBorder="1" applyAlignment="1">
      <alignment horizontal="right" vertical="center" wrapText="1"/>
    </xf>
    <xf numFmtId="0" fontId="20" fillId="8" borderId="34" xfId="0" applyFont="1" applyFill="1" applyBorder="1" applyAlignment="1">
      <alignment horizontal="right" vertical="center" wrapText="1"/>
    </xf>
    <xf numFmtId="49" fontId="20" fillId="17" borderId="22" xfId="0" applyNumberFormat="1" applyFont="1" applyFill="1" applyBorder="1" applyAlignment="1">
      <alignment horizontal="center" vertical="center" wrapText="1"/>
    </xf>
    <xf numFmtId="49" fontId="20" fillId="17" borderId="38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20" fillId="17" borderId="22" xfId="0" applyFont="1" applyFill="1" applyBorder="1" applyAlignment="1">
      <alignment horizontal="center" vertical="center" wrapText="1"/>
    </xf>
    <xf numFmtId="0" fontId="20" fillId="17" borderId="38" xfId="0" applyFont="1" applyFill="1" applyBorder="1" applyAlignment="1">
      <alignment horizontal="center" vertical="center" wrapText="1"/>
    </xf>
    <xf numFmtId="0" fontId="20" fillId="8" borderId="58" xfId="0" applyFont="1" applyFill="1" applyBorder="1" applyAlignment="1">
      <alignment horizontal="right" vertical="center" wrapText="1"/>
    </xf>
    <xf numFmtId="0" fontId="20" fillId="8" borderId="59" xfId="0" applyFont="1" applyFill="1" applyBorder="1" applyAlignment="1">
      <alignment horizontal="right" vertical="center" wrapText="1"/>
    </xf>
    <xf numFmtId="0" fontId="6" fillId="17" borderId="60" xfId="0" applyFont="1" applyFill="1" applyBorder="1" applyAlignment="1">
      <alignment horizontal="center" vertical="center" wrapText="1"/>
    </xf>
    <xf numFmtId="0" fontId="6" fillId="17" borderId="61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5" borderId="53" xfId="3" applyFont="1" applyBorder="1" applyAlignment="1">
      <alignment horizontal="center" vertical="center" wrapText="1"/>
    </xf>
    <xf numFmtId="0" fontId="24" fillId="5" borderId="56" xfId="3" applyFont="1" applyBorder="1" applyAlignment="1">
      <alignment horizontal="center" vertical="center" wrapText="1"/>
    </xf>
    <xf numFmtId="0" fontId="26" fillId="3" borderId="67" xfId="1" applyFont="1" applyBorder="1" applyAlignment="1">
      <alignment horizontal="center" vertical="center" wrapText="1"/>
    </xf>
    <xf numFmtId="0" fontId="26" fillId="3" borderId="68" xfId="1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1" fillId="17" borderId="22" xfId="0" applyFont="1" applyFill="1" applyBorder="1" applyAlignment="1">
      <alignment horizontal="left" vertical="center" wrapText="1"/>
    </xf>
    <xf numFmtId="0" fontId="21" fillId="17" borderId="38" xfId="0" applyFont="1" applyFill="1" applyBorder="1" applyAlignment="1">
      <alignment horizontal="left" vertical="center" wrapText="1"/>
    </xf>
    <xf numFmtId="0" fontId="20" fillId="8" borderId="63" xfId="0" applyFont="1" applyFill="1" applyBorder="1" applyAlignment="1">
      <alignment horizontal="right" vertical="center" wrapText="1"/>
    </xf>
    <xf numFmtId="0" fontId="20" fillId="8" borderId="64" xfId="0" applyFont="1" applyFill="1" applyBorder="1" applyAlignment="1">
      <alignment horizontal="right" vertical="center" wrapText="1"/>
    </xf>
    <xf numFmtId="0" fontId="21" fillId="17" borderId="65" xfId="0" applyFont="1" applyFill="1" applyBorder="1" applyAlignment="1">
      <alignment horizontal="left" vertical="center"/>
    </xf>
    <xf numFmtId="0" fontId="21" fillId="17" borderId="66" xfId="0" applyFont="1" applyFill="1" applyBorder="1" applyAlignment="1">
      <alignment horizontal="left" vertical="center"/>
    </xf>
    <xf numFmtId="0" fontId="22" fillId="0" borderId="0" xfId="0" applyFont="1" applyAlignment="1">
      <alignment horizontal="center"/>
    </xf>
    <xf numFmtId="0" fontId="23" fillId="8" borderId="14" xfId="0" applyFont="1" applyFill="1" applyBorder="1" applyAlignment="1">
      <alignment horizontal="center" vertical="center" wrapText="1"/>
    </xf>
    <xf numFmtId="0" fontId="23" fillId="8" borderId="13" xfId="0" applyFont="1" applyFill="1" applyBorder="1" applyAlignment="1">
      <alignment horizontal="center" vertical="center" wrapText="1"/>
    </xf>
    <xf numFmtId="0" fontId="23" fillId="8" borderId="15" xfId="0" applyFont="1" applyFill="1" applyBorder="1" applyAlignment="1">
      <alignment horizontal="center" vertical="center" wrapText="1"/>
    </xf>
    <xf numFmtId="0" fontId="23" fillId="8" borderId="5" xfId="0" applyFont="1" applyFill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5" fillId="4" borderId="52" xfId="2" applyFont="1" applyBorder="1" applyAlignment="1">
      <alignment horizontal="center" vertical="center" wrapText="1"/>
    </xf>
    <xf numFmtId="0" fontId="25" fillId="4" borderId="44" xfId="2" applyFont="1" applyBorder="1" applyAlignment="1">
      <alignment horizontal="center" vertical="center" wrapText="1"/>
    </xf>
    <xf numFmtId="0" fontId="36" fillId="19" borderId="21" xfId="0" applyFont="1" applyFill="1" applyBorder="1" applyAlignment="1">
      <alignment horizontal="center" vertical="center"/>
    </xf>
    <xf numFmtId="0" fontId="11" fillId="0" borderId="125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113" xfId="0" applyFont="1" applyBorder="1" applyAlignment="1">
      <alignment horizontal="center"/>
    </xf>
    <xf numFmtId="0" fontId="0" fillId="6" borderId="25" xfId="0" applyFill="1" applyBorder="1" applyAlignment="1">
      <alignment horizontal="center" vertical="top" wrapText="1"/>
    </xf>
    <xf numFmtId="0" fontId="0" fillId="6" borderId="5" xfId="0" applyFill="1" applyBorder="1" applyAlignment="1">
      <alignment horizontal="center" vertical="top" wrapText="1"/>
    </xf>
    <xf numFmtId="0" fontId="12" fillId="6" borderId="28" xfId="0" applyFont="1" applyFill="1" applyBorder="1" applyAlignment="1">
      <alignment horizontal="center" vertical="top" wrapText="1"/>
    </xf>
    <xf numFmtId="0" fontId="12" fillId="6" borderId="29" xfId="0" applyFont="1" applyFill="1" applyBorder="1" applyAlignment="1">
      <alignment horizontal="center" vertical="top" wrapText="1"/>
    </xf>
    <xf numFmtId="0" fontId="12" fillId="6" borderId="30" xfId="0" applyFont="1" applyFill="1" applyBorder="1" applyAlignment="1">
      <alignment horizontal="center" vertical="top" wrapText="1"/>
    </xf>
    <xf numFmtId="0" fontId="12" fillId="6" borderId="14" xfId="0" applyFont="1" applyFill="1" applyBorder="1" applyAlignment="1">
      <alignment horizontal="center" vertical="top" wrapText="1"/>
    </xf>
    <xf numFmtId="0" fontId="12" fillId="6" borderId="23" xfId="0" applyFont="1" applyFill="1" applyBorder="1" applyAlignment="1">
      <alignment horizontal="center" vertical="top" wrapText="1"/>
    </xf>
    <xf numFmtId="0" fontId="12" fillId="6" borderId="13" xfId="0" applyFont="1" applyFill="1" applyBorder="1" applyAlignment="1">
      <alignment horizontal="center" vertical="top" wrapText="1"/>
    </xf>
    <xf numFmtId="0" fontId="0" fillId="6" borderId="31" xfId="0" applyFill="1" applyBorder="1" applyAlignment="1">
      <alignment horizontal="center" vertical="top" wrapText="1"/>
    </xf>
    <xf numFmtId="0" fontId="0" fillId="6" borderId="13" xfId="0" applyFill="1" applyBorder="1" applyAlignment="1">
      <alignment horizontal="center" vertical="top" wrapText="1"/>
    </xf>
    <xf numFmtId="0" fontId="11" fillId="0" borderId="22" xfId="0" applyFont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11" fillId="0" borderId="125" xfId="0" applyFont="1" applyBorder="1" applyAlignment="1">
      <alignment horizontal="center" wrapText="1"/>
    </xf>
    <xf numFmtId="0" fontId="0" fillId="0" borderId="113" xfId="0" applyBorder="1" applyAlignment="1">
      <alignment horizontal="center" wrapText="1"/>
    </xf>
    <xf numFmtId="0" fontId="11" fillId="19" borderId="125" xfId="0" applyFont="1" applyFill="1" applyBorder="1" applyAlignment="1">
      <alignment horizontal="left" wrapText="1"/>
    </xf>
    <xf numFmtId="0" fontId="11" fillId="19" borderId="34" xfId="0" applyFont="1" applyFill="1" applyBorder="1" applyAlignment="1">
      <alignment horizontal="left" wrapText="1"/>
    </xf>
    <xf numFmtId="0" fontId="11" fillId="19" borderId="113" xfId="0" applyFont="1" applyFill="1" applyBorder="1" applyAlignment="1">
      <alignment horizontal="left" wrapText="1"/>
    </xf>
    <xf numFmtId="0" fontId="11" fillId="19" borderId="86" xfId="0" applyFont="1" applyFill="1" applyBorder="1" applyAlignment="1">
      <alignment horizontal="center" vertical="top" wrapText="1"/>
    </xf>
    <xf numFmtId="0" fontId="11" fillId="19" borderId="126" xfId="0" applyFont="1" applyFill="1" applyBorder="1" applyAlignment="1">
      <alignment horizontal="center" vertical="top" wrapText="1"/>
    </xf>
    <xf numFmtId="0" fontId="11" fillId="19" borderId="114" xfId="0" applyFont="1" applyFill="1" applyBorder="1" applyAlignment="1">
      <alignment horizontal="center" vertical="top" wrapText="1"/>
    </xf>
    <xf numFmtId="0" fontId="11" fillId="10" borderId="125" xfId="0" applyFont="1" applyFill="1" applyBorder="1" applyAlignment="1">
      <alignment horizontal="center" wrapText="1"/>
    </xf>
    <xf numFmtId="0" fontId="11" fillId="10" borderId="113" xfId="0" applyFont="1" applyFill="1" applyBorder="1" applyAlignment="1">
      <alignment horizontal="center" wrapText="1"/>
    </xf>
    <xf numFmtId="0" fontId="11" fillId="10" borderId="125" xfId="0" applyFont="1" applyFill="1" applyBorder="1" applyAlignment="1">
      <alignment horizontal="center" vertical="center" wrapText="1"/>
    </xf>
    <xf numFmtId="0" fontId="11" fillId="10" borderId="113" xfId="0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top" wrapText="1"/>
    </xf>
    <xf numFmtId="0" fontId="12" fillId="6" borderId="0" xfId="0" applyFont="1" applyFill="1" applyAlignment="1">
      <alignment horizontal="center" vertical="top" wrapText="1"/>
    </xf>
    <xf numFmtId="0" fontId="12" fillId="6" borderId="20" xfId="0" applyFont="1" applyFill="1" applyBorder="1" applyAlignment="1">
      <alignment horizontal="center" vertical="top" wrapText="1"/>
    </xf>
    <xf numFmtId="0" fontId="12" fillId="6" borderId="19" xfId="0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horizontal="center" vertical="top" wrapText="1"/>
    </xf>
    <xf numFmtId="0" fontId="12" fillId="6" borderId="18" xfId="0" applyFont="1" applyFill="1" applyBorder="1" applyAlignment="1">
      <alignment horizontal="center" vertical="top" wrapText="1"/>
    </xf>
    <xf numFmtId="0" fontId="12" fillId="6" borderId="63" xfId="0" applyFont="1" applyFill="1" applyBorder="1" applyAlignment="1">
      <alignment horizontal="center" vertical="top" wrapText="1"/>
    </xf>
    <xf numFmtId="0" fontId="12" fillId="6" borderId="175" xfId="0" applyFont="1" applyFill="1" applyBorder="1" applyAlignment="1">
      <alignment horizontal="center" vertical="top" wrapText="1"/>
    </xf>
    <xf numFmtId="0" fontId="12" fillId="6" borderId="176" xfId="0" applyFont="1" applyFill="1" applyBorder="1" applyAlignment="1">
      <alignment horizontal="center" vertical="top" wrapText="1"/>
    </xf>
    <xf numFmtId="0" fontId="11" fillId="7" borderId="24" xfId="0" applyFont="1" applyFill="1" applyBorder="1" applyAlignment="1">
      <alignment horizontal="left" vertical="top" wrapText="1"/>
    </xf>
    <xf numFmtId="0" fontId="11" fillId="7" borderId="15" xfId="0" applyFont="1" applyFill="1" applyBorder="1" applyAlignment="1">
      <alignment horizontal="left" vertical="top" wrapText="1"/>
    </xf>
    <xf numFmtId="0" fontId="0" fillId="7" borderId="0" xfId="0" applyFill="1" applyAlignment="1">
      <alignment horizontal="left" vertical="top" wrapText="1"/>
    </xf>
    <xf numFmtId="0" fontId="0" fillId="7" borderId="26" xfId="0" applyFill="1" applyBorder="1" applyAlignment="1">
      <alignment horizontal="left" vertical="top" wrapText="1"/>
    </xf>
    <xf numFmtId="0" fontId="0" fillId="17" borderId="122" xfId="0" applyFill="1" applyBorder="1" applyAlignment="1">
      <alignment horizontal="left" vertical="center" wrapText="1"/>
    </xf>
    <xf numFmtId="0" fontId="0" fillId="17" borderId="18" xfId="0" applyFill="1" applyBorder="1" applyAlignment="1">
      <alignment horizontal="left" vertical="center" wrapText="1"/>
    </xf>
    <xf numFmtId="0" fontId="0" fillId="17" borderId="116" xfId="0" applyFill="1" applyBorder="1" applyAlignment="1">
      <alignment horizontal="left" vertical="center" wrapText="1"/>
    </xf>
    <xf numFmtId="0" fontId="0" fillId="17" borderId="33" xfId="0" applyFill="1" applyBorder="1" applyAlignment="1">
      <alignment horizontal="left" vertical="center" wrapText="1"/>
    </xf>
    <xf numFmtId="0" fontId="0" fillId="18" borderId="19" xfId="0" applyFill="1" applyBorder="1" applyAlignment="1">
      <alignment horizontal="center" vertical="center" wrapText="1"/>
    </xf>
    <xf numFmtId="0" fontId="0" fillId="18" borderId="0" xfId="0" applyFill="1" applyAlignment="1">
      <alignment horizontal="center" vertical="center" wrapText="1"/>
    </xf>
    <xf numFmtId="0" fontId="0" fillId="18" borderId="20" xfId="0" applyFill="1" applyBorder="1" applyAlignment="1">
      <alignment horizontal="center" vertical="center" wrapText="1"/>
    </xf>
    <xf numFmtId="0" fontId="0" fillId="18" borderId="6" xfId="0" applyFill="1" applyBorder="1" applyAlignment="1">
      <alignment horizontal="center" vertical="center" wrapText="1"/>
    </xf>
    <xf numFmtId="0" fontId="0" fillId="18" borderId="24" xfId="0" applyFill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17" borderId="0" xfId="0" applyFill="1" applyAlignment="1">
      <alignment horizontal="center" vertical="center" wrapText="1"/>
    </xf>
    <xf numFmtId="0" fontId="0" fillId="17" borderId="20" xfId="0" applyFill="1" applyBorder="1" applyAlignment="1">
      <alignment horizontal="center" vertical="center" wrapText="1"/>
    </xf>
    <xf numFmtId="0" fontId="0" fillId="17" borderId="19" xfId="0" applyFill="1" applyBorder="1" applyAlignment="1">
      <alignment horizontal="center" vertical="center" wrapText="1"/>
    </xf>
    <xf numFmtId="0" fontId="0" fillId="18" borderId="14" xfId="0" applyFill="1" applyBorder="1" applyAlignment="1">
      <alignment horizontal="center" vertical="center" wrapText="1"/>
    </xf>
    <xf numFmtId="0" fontId="0" fillId="18" borderId="23" xfId="0" applyFill="1" applyBorder="1" applyAlignment="1">
      <alignment horizontal="center" vertical="center" wrapText="1"/>
    </xf>
    <xf numFmtId="0" fontId="0" fillId="18" borderId="13" xfId="0" applyFill="1" applyBorder="1" applyAlignment="1">
      <alignment horizontal="center" vertical="center" wrapText="1"/>
    </xf>
    <xf numFmtId="0" fontId="0" fillId="17" borderId="177" xfId="0" applyFill="1" applyBorder="1" applyAlignment="1">
      <alignment horizontal="left" vertical="center" wrapText="1"/>
    </xf>
    <xf numFmtId="0" fontId="33" fillId="0" borderId="0" xfId="0" applyFont="1" applyAlignment="1">
      <alignment horizontal="center"/>
    </xf>
    <xf numFmtId="0" fontId="36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0" fillId="0" borderId="26" xfId="0" applyFont="1" applyBorder="1" applyAlignment="1">
      <alignment horizontal="left"/>
    </xf>
    <xf numFmtId="0" fontId="30" fillId="0" borderId="27" xfId="0" applyFont="1" applyBorder="1" applyAlignment="1">
      <alignment horizontal="left"/>
    </xf>
    <xf numFmtId="0" fontId="29" fillId="11" borderId="28" xfId="0" applyFont="1" applyFill="1" applyBorder="1" applyAlignment="1">
      <alignment horizontal="left"/>
    </xf>
    <xf numFmtId="0" fontId="29" fillId="11" borderId="29" xfId="0" applyFont="1" applyFill="1" applyBorder="1" applyAlignment="1">
      <alignment horizontal="left"/>
    </xf>
    <xf numFmtId="0" fontId="29" fillId="11" borderId="0" xfId="0" applyFont="1" applyFill="1" applyAlignment="1">
      <alignment horizontal="left"/>
    </xf>
    <xf numFmtId="49" fontId="0" fillId="0" borderId="0" xfId="0" applyNumberForma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9" fillId="10" borderId="28" xfId="0" applyFont="1" applyFill="1" applyBorder="1" applyAlignment="1">
      <alignment horizontal="left"/>
    </xf>
    <xf numFmtId="0" fontId="29" fillId="10" borderId="29" xfId="0" applyFont="1" applyFill="1" applyBorder="1" applyAlignment="1">
      <alignment horizontal="left"/>
    </xf>
    <xf numFmtId="0" fontId="29" fillId="10" borderId="0" xfId="0" applyFont="1" applyFill="1" applyAlignment="1">
      <alignment horizontal="left"/>
    </xf>
    <xf numFmtId="0" fontId="83" fillId="0" borderId="21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center" wrapText="1"/>
    </xf>
    <xf numFmtId="0" fontId="7" fillId="0" borderId="22" xfId="0" applyFont="1" applyBorder="1" applyAlignment="1">
      <alignment vertical="top" wrapText="1"/>
    </xf>
    <xf numFmtId="0" fontId="7" fillId="0" borderId="22" xfId="0" applyFont="1" applyBorder="1"/>
    <xf numFmtId="0" fontId="8" fillId="26" borderId="8" xfId="0" applyFont="1" applyFill="1" applyBorder="1" applyAlignment="1">
      <alignment horizontal="left" vertical="top" wrapText="1"/>
    </xf>
    <xf numFmtId="0" fontId="8" fillId="26" borderId="80" xfId="0" applyFont="1" applyFill="1" applyBorder="1" applyAlignment="1">
      <alignment horizontal="left" vertical="top" wrapText="1"/>
    </xf>
    <xf numFmtId="0" fontId="4" fillId="26" borderId="8" xfId="0" applyFont="1" applyFill="1" applyBorder="1" applyAlignment="1">
      <alignment vertical="top" wrapText="1"/>
    </xf>
    <xf numFmtId="0" fontId="4" fillId="26" borderId="80" xfId="0" applyFont="1" applyFill="1" applyBorder="1" applyAlignment="1">
      <alignment vertical="top" wrapText="1"/>
    </xf>
    <xf numFmtId="2" fontId="6" fillId="5" borderId="91" xfId="3" applyNumberFormat="1" applyFont="1" applyBorder="1" applyAlignment="1">
      <alignment horizontal="right" vertical="top" wrapText="1"/>
    </xf>
    <xf numFmtId="2" fontId="6" fillId="5" borderId="92" xfId="3" applyNumberFormat="1" applyFont="1" applyBorder="1" applyAlignment="1">
      <alignment horizontal="right" vertical="top" wrapText="1"/>
    </xf>
    <xf numFmtId="0" fontId="8" fillId="26" borderId="7" xfId="0" applyFont="1" applyFill="1" applyBorder="1" applyAlignment="1">
      <alignment horizontal="left" vertical="top" wrapText="1"/>
    </xf>
    <xf numFmtId="0" fontId="8" fillId="26" borderId="4" xfId="0" applyFont="1" applyFill="1" applyBorder="1" applyAlignment="1">
      <alignment horizontal="left" vertical="top" wrapText="1"/>
    </xf>
    <xf numFmtId="166" fontId="51" fillId="3" borderId="8" xfId="4" applyNumberFormat="1" applyFont="1" applyFill="1" applyBorder="1" applyAlignment="1">
      <alignment horizontal="right" vertical="top" wrapText="1"/>
    </xf>
    <xf numFmtId="166" fontId="51" fillId="3" borderId="9" xfId="4" applyNumberFormat="1" applyFont="1" applyFill="1" applyBorder="1" applyAlignment="1">
      <alignment horizontal="right" vertical="top" wrapText="1"/>
    </xf>
    <xf numFmtId="166" fontId="51" fillId="3" borderId="8" xfId="4" applyNumberFormat="1" applyFont="1" applyFill="1" applyBorder="1" applyAlignment="1">
      <alignment vertical="top" wrapText="1"/>
    </xf>
    <xf numFmtId="166" fontId="51" fillId="3" borderId="9" xfId="4" applyNumberFormat="1" applyFont="1" applyFill="1" applyBorder="1" applyAlignment="1">
      <alignment vertical="top" wrapText="1"/>
    </xf>
    <xf numFmtId="0" fontId="8" fillId="26" borderId="14" xfId="0" applyFont="1" applyFill="1" applyBorder="1" applyAlignment="1">
      <alignment horizontal="left" vertical="top" wrapText="1"/>
    </xf>
    <xf numFmtId="0" fontId="8" fillId="26" borderId="15" xfId="0" applyFont="1" applyFill="1" applyBorder="1" applyAlignment="1">
      <alignment horizontal="left" vertical="top" wrapText="1"/>
    </xf>
    <xf numFmtId="2" fontId="51" fillId="3" borderId="8" xfId="4" applyNumberFormat="1" applyFont="1" applyFill="1" applyBorder="1" applyAlignment="1">
      <alignment vertical="top" wrapText="1"/>
    </xf>
    <xf numFmtId="2" fontId="51" fillId="3" borderId="9" xfId="4" applyNumberFormat="1" applyFont="1" applyFill="1" applyBorder="1" applyAlignment="1">
      <alignment vertical="top" wrapText="1"/>
    </xf>
    <xf numFmtId="0" fontId="4" fillId="26" borderId="9" xfId="0" applyFont="1" applyFill="1" applyBorder="1" applyAlignment="1">
      <alignment vertical="top" wrapText="1"/>
    </xf>
    <xf numFmtId="0" fontId="8" fillId="26" borderId="11" xfId="0" applyFont="1" applyFill="1" applyBorder="1" applyAlignment="1">
      <alignment horizontal="left" vertical="top" wrapText="1"/>
    </xf>
    <xf numFmtId="0" fontId="8" fillId="26" borderId="12" xfId="0" applyFont="1" applyFill="1" applyBorder="1" applyAlignment="1">
      <alignment horizontal="left" vertical="top" wrapText="1"/>
    </xf>
    <xf numFmtId="0" fontId="8" fillId="26" borderId="8" xfId="0" applyFont="1" applyFill="1" applyBorder="1" applyAlignment="1">
      <alignment horizontal="center" vertical="top" wrapText="1"/>
    </xf>
    <xf numFmtId="0" fontId="8" fillId="26" borderId="9" xfId="0" applyFont="1" applyFill="1" applyBorder="1" applyAlignment="1">
      <alignment horizontal="center" vertical="top" wrapText="1"/>
    </xf>
    <xf numFmtId="0" fontId="4" fillId="26" borderId="13" xfId="0" applyFont="1" applyFill="1" applyBorder="1" applyAlignment="1">
      <alignment horizontal="center" vertical="top"/>
    </xf>
    <xf numFmtId="0" fontId="4" fillId="26" borderId="5" xfId="0" applyFont="1" applyFill="1" applyBorder="1" applyAlignment="1">
      <alignment horizontal="center" vertical="top"/>
    </xf>
    <xf numFmtId="0" fontId="4" fillId="26" borderId="8" xfId="0" applyFont="1" applyFill="1" applyBorder="1" applyAlignment="1">
      <alignment horizontal="center" vertical="top"/>
    </xf>
    <xf numFmtId="0" fontId="4" fillId="26" borderId="80" xfId="0" applyFont="1" applyFill="1" applyBorder="1" applyAlignment="1">
      <alignment horizontal="center" vertical="top"/>
    </xf>
    <xf numFmtId="0" fontId="116" fillId="0" borderId="125" xfId="0" applyFont="1" applyBorder="1" applyAlignment="1">
      <alignment horizontal="left"/>
    </xf>
    <xf numFmtId="0" fontId="116" fillId="0" borderId="34" xfId="0" applyFont="1" applyBorder="1" applyAlignment="1">
      <alignment horizontal="left"/>
    </xf>
    <xf numFmtId="0" fontId="116" fillId="0" borderId="113" xfId="0" applyFont="1" applyBorder="1" applyAlignment="1">
      <alignment horizontal="left"/>
    </xf>
    <xf numFmtId="0" fontId="116" fillId="0" borderId="125" xfId="0" applyFont="1" applyBorder="1" applyAlignment="1">
      <alignment horizontal="left" indent="1"/>
    </xf>
    <xf numFmtId="0" fontId="116" fillId="0" borderId="34" xfId="0" applyFont="1" applyBorder="1" applyAlignment="1">
      <alignment horizontal="left" indent="1"/>
    </xf>
    <xf numFmtId="0" fontId="116" fillId="0" borderId="113" xfId="0" applyFont="1" applyBorder="1" applyAlignment="1">
      <alignment horizontal="left" indent="1"/>
    </xf>
    <xf numFmtId="0" fontId="0" fillId="0" borderId="154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top" wrapText="1"/>
    </xf>
    <xf numFmtId="0" fontId="11" fillId="0" borderId="24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0" fillId="0" borderId="23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11" fillId="0" borderId="1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65" fillId="22" borderId="14" xfId="0" applyFont="1" applyFill="1" applyBorder="1" applyAlignment="1">
      <alignment horizontal="center"/>
    </xf>
    <xf numFmtId="0" fontId="65" fillId="22" borderId="23" xfId="0" applyFont="1" applyFill="1" applyBorder="1" applyAlignment="1">
      <alignment horizontal="center"/>
    </xf>
    <xf numFmtId="0" fontId="54" fillId="0" borderId="69" xfId="0" applyFont="1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69" xfId="0" applyBorder="1" applyAlignment="1">
      <alignment wrapText="1"/>
    </xf>
    <xf numFmtId="0" fontId="38" fillId="12" borderId="28" xfId="0" applyFont="1" applyFill="1" applyBorder="1" applyAlignment="1">
      <alignment horizontal="center" vertical="center" wrapText="1"/>
    </xf>
    <xf numFmtId="0" fontId="38" fillId="12" borderId="29" xfId="0" applyFont="1" applyFill="1" applyBorder="1" applyAlignment="1">
      <alignment horizontal="center" vertical="center" wrapText="1"/>
    </xf>
    <xf numFmtId="0" fontId="38" fillId="12" borderId="30" xfId="0" applyFont="1" applyFill="1" applyBorder="1" applyAlignment="1">
      <alignment horizontal="center" vertical="center" wrapText="1"/>
    </xf>
    <xf numFmtId="0" fontId="60" fillId="12" borderId="8" xfId="0" applyFont="1" applyFill="1" applyBorder="1" applyAlignment="1">
      <alignment horizontal="center" vertical="center" wrapText="1"/>
    </xf>
    <xf numFmtId="0" fontId="60" fillId="12" borderId="9" xfId="0" applyFont="1" applyFill="1" applyBorder="1" applyAlignment="1">
      <alignment horizontal="center" vertical="center" wrapText="1"/>
    </xf>
    <xf numFmtId="0" fontId="38" fillId="12" borderId="14" xfId="0" applyFont="1" applyFill="1" applyBorder="1" applyAlignment="1">
      <alignment horizontal="center" vertical="center" wrapText="1"/>
    </xf>
    <xf numFmtId="0" fontId="38" fillId="12" borderId="23" xfId="0" applyFont="1" applyFill="1" applyBorder="1" applyAlignment="1">
      <alignment horizontal="center" vertical="center" wrapText="1"/>
    </xf>
    <xf numFmtId="0" fontId="38" fillId="12" borderId="13" xfId="0" applyFont="1" applyFill="1" applyBorder="1" applyAlignment="1">
      <alignment horizontal="center" vertical="center" wrapText="1"/>
    </xf>
  </cellXfs>
  <cellStyles count="23">
    <cellStyle name="Bad 2" xfId="14" xr:uid="{00000000-0005-0000-0000-000000000000}"/>
    <cellStyle name="Calculation" xfId="2" builtinId="22"/>
    <cellStyle name="Comma" xfId="5" builtinId="3"/>
    <cellStyle name="Comma 2" xfId="16" xr:uid="{00000000-0005-0000-0000-000003000000}"/>
    <cellStyle name="Currency" xfId="7" builtinId="4"/>
    <cellStyle name="Currency 2" xfId="17" xr:uid="{00000000-0005-0000-0000-000005000000}"/>
    <cellStyle name="Good" xfId="1" builtinId="26"/>
    <cellStyle name="Heading 1" xfId="20" builtinId="16"/>
    <cellStyle name="Heading 3" xfId="22" builtinId="18"/>
    <cellStyle name="Hyperlink" xfId="6" builtinId="8"/>
    <cellStyle name="Mena 2" xfId="10" xr:uid="{00000000-0005-0000-0000-000008000000}"/>
    <cellStyle name="Normal" xfId="0" builtinId="0"/>
    <cellStyle name="Normal 2" xfId="8" xr:uid="{00000000-0005-0000-0000-00000A000000}"/>
    <cellStyle name="Normal 2 2" xfId="11" xr:uid="{00000000-0005-0000-0000-00000B000000}"/>
    <cellStyle name="Normal 2 3" xfId="18" xr:uid="{00000000-0005-0000-0000-00000C000000}"/>
    <cellStyle name="Normálna 2" xfId="13" xr:uid="{00000000-0005-0000-0000-00000D000000}"/>
    <cellStyle name="Normálna 2 2" xfId="15" xr:uid="{00000000-0005-0000-0000-00000E000000}"/>
    <cellStyle name="Note" xfId="3" builtinId="10"/>
    <cellStyle name="Percent" xfId="4" builtinId="5"/>
    <cellStyle name="Percent 2" xfId="9" xr:uid="{00000000-0005-0000-0000-000011000000}"/>
    <cellStyle name="Percent 2 2" xfId="12" xr:uid="{00000000-0005-0000-0000-000012000000}"/>
    <cellStyle name="Percent 2 3" xfId="19" xr:uid="{00000000-0005-0000-0000-000013000000}"/>
    <cellStyle name="Zlá 2" xfId="21" xr:uid="{02B7981E-1423-44D7-8C6E-01648B7C2F18}"/>
  </cellStyles>
  <dxfs count="61"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pivotCacheDefinition" Target="pivotCache/pivotCacheDefinition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pivotCacheDefinition" Target="pivotCache/pivotCacheDefinition1.xml"/><Relationship Id="rId37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438522</xdr:colOff>
      <xdr:row>3</xdr:row>
      <xdr:rowOff>51172</xdr:rowOff>
    </xdr:from>
    <xdr:to>
      <xdr:col>55</xdr:col>
      <xdr:colOff>296207</xdr:colOff>
      <xdr:row>17</xdr:row>
      <xdr:rowOff>127372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BD070B4-F9C6-3F45-E1C5-04B7F08EC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24051" y="1407084"/>
          <a:ext cx="6009715" cy="4749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rpád Nagy" id="{5F7AB024-DC8C-448C-B726-C2CC6F7F83A2}" userId="S::arpad.nagy@itacon.sk::01a4b834-79ed-4d3b-b8d8-6d422102c517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lo Rybar" refreshedDate="43494.741864814816" createdVersion="6" refreshedVersion="6" minRefreshableVersion="3" recordCount="87" xr:uid="{00000000-000A-0000-FFFF-FFFF00000000}">
  <cacheSource type="worksheet">
    <worksheetSource ref="A2:AK89" sheet="Rozpočet - vývoj Aplikácií"/>
  </cacheSource>
  <cacheFields count="36">
    <cacheField name="Modul MetaIS" numFmtId="49">
      <sharedItems containsBlank="1"/>
    </cacheField>
    <cacheField name="Druh aktivity" numFmtId="0">
      <sharedItems containsBlank="1" count="14">
        <m/>
        <s v="Analýza a návrh"/>
        <s v="Vývoj"/>
        <s v="Testovanie"/>
        <s v="Dokumentácia"/>
        <s v="Migrácia údajov"/>
        <s v="Nasadenie do rutinnej prevádzky"/>
        <s v="Projektové riadenie "/>
        <s v="Agendový informačný systém KSED" u="1"/>
        <s v="Verejný portál KSED" u="1"/>
        <s v="Mobilný Agendový informačný systém KSED" u="1"/>
        <s v="Mobilná aplikácia Podnety" u="1"/>
        <s v="Riadenie kvality projektu" u="1"/>
        <s v="Integračné rozhrania" u="1"/>
      </sharedItems>
    </cacheField>
    <cacheField name="Výstup/funkcionalita projektu" numFmtId="0">
      <sharedItems containsBlank="1"/>
    </cacheField>
    <cacheField name="Popis" numFmtId="0">
      <sharedItems containsNonDate="0" containsString="0" containsBlank="1"/>
    </cacheField>
    <cacheField name="M1" numFmtId="0">
      <sharedItems containsBlank="1" containsMixedTypes="1" containsNumber="1" containsInteger="1" minValue="1" maxValue="1"/>
    </cacheField>
    <cacheField name="M2" numFmtId="0">
      <sharedItems containsString="0" containsBlank="1" containsNumber="1" containsInteger="1" minValue="1" maxValue="1"/>
    </cacheField>
    <cacheField name="M3" numFmtId="0">
      <sharedItems containsString="0" containsBlank="1" containsNumber="1" containsInteger="1" minValue="1" maxValue="1"/>
    </cacheField>
    <cacheField name="M4" numFmtId="0">
      <sharedItems containsString="0" containsBlank="1" containsNumber="1" containsInteger="1" minValue="1" maxValue="1"/>
    </cacheField>
    <cacheField name="M5" numFmtId="0">
      <sharedItems containsString="0" containsBlank="1" containsNumber="1" containsInteger="1" minValue="1" maxValue="1"/>
    </cacheField>
    <cacheField name="M6" numFmtId="0">
      <sharedItems containsString="0" containsBlank="1" containsNumber="1" containsInteger="1" minValue="1" maxValue="1"/>
    </cacheField>
    <cacheField name="M7" numFmtId="0">
      <sharedItems containsString="0" containsBlank="1" containsNumber="1" containsInteger="1" minValue="1" maxValue="1"/>
    </cacheField>
    <cacheField name="M8" numFmtId="0">
      <sharedItems containsString="0" containsBlank="1" containsNumber="1" containsInteger="1" minValue="1" maxValue="1"/>
    </cacheField>
    <cacheField name="M9" numFmtId="0">
      <sharedItems containsString="0" containsBlank="1" containsNumber="1" containsInteger="1" minValue="1" maxValue="1"/>
    </cacheField>
    <cacheField name="M10" numFmtId="0">
      <sharedItems containsString="0" containsBlank="1" containsNumber="1" containsInteger="1" minValue="1" maxValue="1"/>
    </cacheField>
    <cacheField name="M11" numFmtId="0">
      <sharedItems containsString="0" containsBlank="1" containsNumber="1" containsInteger="1" minValue="1" maxValue="1"/>
    </cacheField>
    <cacheField name="M12" numFmtId="0">
      <sharedItems containsString="0" containsBlank="1" containsNumber="1" containsInteger="1" minValue="1" maxValue="1"/>
    </cacheField>
    <cacheField name="M13" numFmtId="0">
      <sharedItems containsString="0" containsBlank="1" containsNumber="1" containsInteger="1" minValue="1" maxValue="1"/>
    </cacheField>
    <cacheField name="M14" numFmtId="0">
      <sharedItems containsString="0" containsBlank="1" containsNumber="1" containsInteger="1" minValue="1" maxValue="1"/>
    </cacheField>
    <cacheField name="M15" numFmtId="0">
      <sharedItems containsString="0" containsBlank="1" containsNumber="1" containsInteger="1" minValue="1" maxValue="1"/>
    </cacheField>
    <cacheField name="M16" numFmtId="0">
      <sharedItems containsString="0" containsBlank="1" containsNumber="1" containsInteger="1" minValue="1" maxValue="1"/>
    </cacheField>
    <cacheField name="M17" numFmtId="0">
      <sharedItems containsString="0" containsBlank="1" containsNumber="1" containsInteger="1" minValue="1" maxValue="1"/>
    </cacheField>
    <cacheField name="M18" numFmtId="0">
      <sharedItems containsString="0" containsBlank="1" containsNumber="1" containsInteger="1" minValue="1" maxValue="1"/>
    </cacheField>
    <cacheField name="M19" numFmtId="0">
      <sharedItems containsString="0" containsBlank="1" containsNumber="1" containsInteger="1" minValue="1" maxValue="1"/>
    </cacheField>
    <cacheField name="M20" numFmtId="0">
      <sharedItems containsString="0" containsBlank="1" containsNumber="1" containsInteger="1" minValue="1" maxValue="1"/>
    </cacheField>
    <cacheField name="M21" numFmtId="0">
      <sharedItems containsString="0" containsBlank="1" containsNumber="1" containsInteger="1" minValue="1" maxValue="1"/>
    </cacheField>
    <cacheField name="M22" numFmtId="0">
      <sharedItems containsString="0" containsBlank="1" containsNumber="1" containsInteger="1" minValue="1" maxValue="1"/>
    </cacheField>
    <cacheField name="M23" numFmtId="0">
      <sharedItems containsString="0" containsBlank="1" containsNumber="1" containsInteger="1" minValue="1" maxValue="1"/>
    </cacheField>
    <cacheField name="M24" numFmtId="0">
      <sharedItems containsString="0" containsBlank="1" containsNumber="1" containsInteger="1" minValue="1" maxValue="1"/>
    </cacheField>
    <cacheField name="Počet dní interné" numFmtId="0">
      <sharedItems containsString="0" containsBlank="1" containsNumber="1" containsInteger="1" minValue="21" maxValue="504"/>
    </cacheField>
    <cacheField name="Počet dní externé" numFmtId="0">
      <sharedItems containsString="0" containsBlank="1" containsNumber="1" containsInteger="1" minValue="21" maxValue="504"/>
    </cacheField>
    <cacheField name="Pocet FTE interne" numFmtId="0">
      <sharedItems containsNonDate="0" containsString="0" containsBlank="1"/>
    </cacheField>
    <cacheField name="Pocet FTE externe" numFmtId="0">
      <sharedItems containsBlank="1" containsMixedTypes="1" containsNumber="1" minValue="0.01" maxValue="5.5"/>
    </cacheField>
    <cacheField name="Pocet MDs" numFmtId="0">
      <sharedItems containsString="0" containsBlank="1" containsNumber="1" minValue="0.84" maxValue="2079"/>
    </cacheField>
    <cacheField name="Rate FTE externé (s DPH)" numFmtId="170">
      <sharedItems containsString="0" containsBlank="1" containsNumber="1" containsInteger="1" minValue="684" maxValue="1440"/>
    </cacheField>
    <cacheField name="Suma interné" numFmtId="170">
      <sharedItems containsString="0" containsBlank="1" containsNumber="1" containsInteger="1" minValue="0" maxValue="0"/>
    </cacheField>
    <cacheField name="Suma externé (s DPH)" numFmtId="170">
      <sharedItems containsString="0" containsBlank="1" containsNumber="1" minValue="796.31999999999994" maxValue="16216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pad Nagy" refreshedDate="45470.552545254628" createdVersion="8" refreshedVersion="8" minRefreshableVersion="3" recordCount="151" xr:uid="{EF78E624-7E2E-4A1B-9C7A-54BC4DA99040}">
  <cacheSource type="worksheet">
    <worksheetSource ref="A2:Y153" sheet="Rozpocet_koniec_projektu"/>
  </cacheSource>
  <cacheFields count="25">
    <cacheField name="P.č." numFmtId="0">
      <sharedItems containsBlank="1" containsMixedTypes="1" containsNumber="1" containsInteger="1" minValue="1" maxValue="141"/>
    </cacheField>
    <cacheField name="Skupina aktivít" numFmtId="0">
      <sharedItems containsBlank="1" count="4">
        <s v="Vybrať 1 z možností (hlavná aktivita alebo podporná aktivita)."/>
        <m/>
        <s v="Hlavná"/>
        <s v="Podporná"/>
      </sharedItems>
    </cacheField>
    <cacheField name="Názov aktivity" numFmtId="0">
      <sharedItems containsBlank="1"/>
    </cacheField>
    <cacheField name="Názov aktivity2" numFmtId="0">
      <sharedItems containsBlank="1" count="8">
        <m/>
        <s v="Analýza a dizajn"/>
        <s v="Nákup HW a krabicového softvéru pre riešenie okrem integrácie"/>
        <s v="Implementácia"/>
        <s v="Testovanie"/>
        <s v="Nasadenie"/>
        <s v="Riadenie projektu"/>
        <s v="Publicita a informovanosť"/>
      </sharedItems>
    </cacheField>
    <cacheField name="Skupina  výdavkov" numFmtId="0">
      <sharedItems containsBlank="1" count="7">
        <s v="Uvádza sa skupina výdavkou v súlade s Príručkou oprávnenosti výdavkov prioritnej osi 7 Informačná spoločnosť OPII (príloha PpŽ - Národné projekty)"/>
        <m/>
        <s v="013 - Softvér"/>
        <s v="521 - Mzdové výdavky"/>
        <s v="022 - Samostatné hnuteľné veci a súbory hnuteľných vecí"/>
        <s v="112 - zásoby"/>
        <s v="518 - Ostatné_x000a_služby"/>
      </sharedItems>
    </cacheField>
    <cacheField name="Názov výdavku" numFmtId="0">
      <sharedItems containsBlank="1"/>
    </cacheField>
    <cacheField name="Modul - z názvu výdavku" numFmtId="0">
      <sharedItems containsBlank="1"/>
    </cacheField>
    <cacheField name="Modul mapovanie TCO" numFmtId="0">
      <sharedItems containsBlank="1" count="5">
        <m/>
        <s v="Interný agendový informačný systém KSED"/>
        <s v="Mobilný Agendový informačný systém KSED"/>
        <s v="Verejný portál KSED"/>
        <s v="Mobilná aplikácia Podnety"/>
      </sharedItems>
    </cacheField>
    <cacheField name="MJ" numFmtId="0">
      <sharedItems containsBlank="1"/>
    </cacheField>
    <cacheField name="Jednotková cena bez DPH (v EUR) " numFmtId="0">
      <sharedItems containsBlank="1" containsMixedTypes="1" containsNumber="1" minValue="19.43" maxValue="152120"/>
    </cacheField>
    <cacheField name="Počet jednotiek " numFmtId="0">
      <sharedItems containsBlank="1" containsMixedTypes="1" containsNumber="1" containsInteger="1" minValue="1" maxValue="5530"/>
    </cacheField>
    <cacheField name="Spolu bez DPH (v EUR)" numFmtId="0">
      <sharedItems containsBlank="1" containsMixedTypes="1" containsNumber="1" containsInteger="1" minValue="0" maxValue="4800"/>
    </cacheField>
    <cacheField name="Spolu s DPH (v EUR)" numFmtId="0">
      <sharedItems containsString="0" containsBlank="1" containsNumber="1" minValue="480" maxValue="5267324.8899999997"/>
    </cacheField>
    <cacheField name="Oprávnený výdavok (v EUR)" numFmtId="0">
      <sharedItems containsBlank="1" containsMixedTypes="1" containsNumber="1" minValue="480" maxValue="5267324.8899999997"/>
    </cacheField>
    <cacheField name="Neoprávnený výdavok (v EUR)" numFmtId="0">
      <sharedItems containsBlank="1" containsMixedTypes="1" containsNumber="1" containsInteger="1" minValue="0" maxValue="0"/>
    </cacheField>
    <cacheField name="Intenzita pomoci (v %)" numFmtId="0">
      <sharedItems containsBlank="1" containsMixedTypes="1" containsNumber="1" containsInteger="1" minValue="0" maxValue="1"/>
    </cacheField>
    <cacheField name="Hodnota NFP          (v EUR)" numFmtId="0">
      <sharedItems containsBlank="1" containsMixedTypes="1" containsNumber="1" minValue="0" maxValue="5267324.8899999997"/>
    </cacheField>
    <cacheField name="REÁLNE ČERPANIE (aj ŠR)" numFmtId="0">
      <sharedItems containsString="0" containsBlank="1" containsNumber="1" minValue="0" maxValue="794592"/>
    </cacheField>
    <cacheField name="Číslo VO/číslo DZ" numFmtId="0">
      <sharedItems containsBlank="1"/>
    </cacheField>
    <cacheField name="Rozdelenie výdavkov" numFmtId="0">
      <sharedItems containsBlank="1"/>
    </cacheField>
    <cacheField name="Komentár" numFmtId="0">
      <sharedItems containsBlank="1" longText="1"/>
    </cacheField>
    <cacheField name="Príznak aktualizácie hodnôt z VO" numFmtId="0">
      <sharedItems containsBlank="1"/>
    </cacheField>
    <cacheField name="Výdavok Rok 1 _x000a_[EUR s DPH]" numFmtId="0">
      <sharedItems containsString="0" containsBlank="1" containsNumber="1" minValue="0" maxValue="1403541.8479999995"/>
    </cacheField>
    <cacheField name="Výdavok Rok 2_x000a_[EUR s DPH]" numFmtId="0">
      <sharedItems containsString="0" containsBlank="1" containsNumber="1" minValue="0" maxValue="3140784.9680000003"/>
    </cacheField>
    <cacheField name="Výdavok Rok 3_x000a_[EUR s DPH]" numFmtId="0">
      <sharedItems containsString="0" containsBlank="1" containsNumber="1" minValue="0" maxValue="101648.794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">
  <r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Interný agendový informačný systém KSED"/>
    <x v="0"/>
    <s v="Modul Integrované povoľovanie"/>
    <m/>
    <s v="prosím doplňte časové trvanie aktivity (vložením &quot;1&quot;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Interný agendový informačný systém KSED"/>
    <x v="1"/>
    <s v="1.1 Analýza a návrh - analytik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504"/>
    <n v="504"/>
    <m/>
    <n v="0.35000000000000003"/>
    <n v="176.4"/>
    <n v="888"/>
    <n v="0"/>
    <n v="156643.20000000001"/>
  </r>
  <r>
    <s v="Interný agendový informačný systém KSED"/>
    <x v="2"/>
    <s v="1.2 Vývoj - programátor"/>
    <m/>
    <m/>
    <m/>
    <m/>
    <m/>
    <m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378"/>
    <n v="378"/>
    <m/>
    <n v="1.35"/>
    <n v="510.3"/>
    <n v="780"/>
    <n v="0"/>
    <n v="398034"/>
  </r>
  <r>
    <s v="Interný agendový informačný systém KSED"/>
    <x v="3"/>
    <s v="1.3 Testovanie - tester"/>
    <m/>
    <m/>
    <m/>
    <m/>
    <m/>
    <m/>
    <m/>
    <m/>
    <m/>
    <n v="1"/>
    <n v="1"/>
    <n v="1"/>
    <n v="1"/>
    <m/>
    <n v="1"/>
    <n v="1"/>
    <n v="1"/>
    <n v="1"/>
    <m/>
    <n v="1"/>
    <n v="1"/>
    <n v="1"/>
    <n v="1"/>
    <n v="1"/>
    <n v="1"/>
    <n v="294"/>
    <n v="294"/>
    <m/>
    <n v="0.35000000000000003"/>
    <n v="102.9"/>
    <n v="684"/>
    <n v="0"/>
    <n v="70383.600000000006"/>
  </r>
  <r>
    <s v="Interný agendový informačný systém KSED"/>
    <x v="4"/>
    <s v="1.4 Dokumentácia - dokumentarista"/>
    <m/>
    <m/>
    <m/>
    <m/>
    <m/>
    <m/>
    <m/>
    <m/>
    <m/>
    <m/>
    <m/>
    <m/>
    <n v="1"/>
    <m/>
    <m/>
    <m/>
    <m/>
    <n v="1"/>
    <m/>
    <n v="1"/>
    <m/>
    <n v="1"/>
    <m/>
    <n v="1"/>
    <n v="1"/>
    <n v="126"/>
    <n v="126"/>
    <m/>
    <n v="0.02"/>
    <n v="2.52"/>
    <n v="684"/>
    <n v="0"/>
    <n v="1723.68"/>
  </r>
  <r>
    <s v="Interný agendový informačný systém KSED"/>
    <x v="5"/>
    <s v="1.5 Migrácia údajov - programátor"/>
    <m/>
    <m/>
    <m/>
    <m/>
    <m/>
    <m/>
    <m/>
    <m/>
    <m/>
    <m/>
    <n v="1"/>
    <n v="1"/>
    <n v="1"/>
    <m/>
    <n v="1"/>
    <n v="1"/>
    <n v="1"/>
    <n v="1"/>
    <m/>
    <n v="1"/>
    <m/>
    <n v="1"/>
    <m/>
    <m/>
    <n v="1"/>
    <n v="210"/>
    <n v="210"/>
    <m/>
    <n v="0.75"/>
    <n v="157.5"/>
    <n v="780"/>
    <n v="0"/>
    <n v="122850"/>
  </r>
  <r>
    <s v="Interný agendový informačný systém KSED"/>
    <x v="6"/>
    <s v="1.6 Nasadenie do rutinnej prevádzky - administrátor"/>
    <m/>
    <m/>
    <m/>
    <m/>
    <m/>
    <m/>
    <m/>
    <m/>
    <m/>
    <m/>
    <m/>
    <m/>
    <n v="1"/>
    <m/>
    <m/>
    <m/>
    <m/>
    <n v="1"/>
    <m/>
    <m/>
    <m/>
    <n v="1"/>
    <m/>
    <m/>
    <n v="1"/>
    <n v="84"/>
    <n v="84"/>
    <m/>
    <n v="0.03"/>
    <n v="2.52"/>
    <n v="948"/>
    <n v="0"/>
    <n v="2388.96"/>
  </r>
  <r>
    <s v="Interný agendový informačný systém KSED"/>
    <x v="0"/>
    <s v="Modul Kontrolná činnosť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Interný agendový informačný systém KSED"/>
    <x v="1"/>
    <s v="1.1 Analýza a návrh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504"/>
    <n v="504"/>
    <m/>
    <n v="1.4"/>
    <n v="705.59999999999991"/>
    <n v="888"/>
    <n v="0"/>
    <n v="626572.79999999993"/>
  </r>
  <r>
    <s v="Interný agendový informačný systém KSED"/>
    <x v="2"/>
    <s v="1.2 Vývoj"/>
    <m/>
    <m/>
    <m/>
    <m/>
    <m/>
    <m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378"/>
    <n v="378"/>
    <m/>
    <n v="5.5"/>
    <n v="2079"/>
    <n v="780"/>
    <n v="0"/>
    <n v="1621620"/>
  </r>
  <r>
    <s v="Interný agendový informačný systém KSED"/>
    <x v="3"/>
    <s v="1.3 Testovanie"/>
    <m/>
    <m/>
    <m/>
    <m/>
    <m/>
    <m/>
    <m/>
    <m/>
    <m/>
    <n v="1"/>
    <n v="1"/>
    <n v="1"/>
    <n v="1"/>
    <m/>
    <n v="1"/>
    <n v="1"/>
    <n v="1"/>
    <n v="1"/>
    <m/>
    <n v="1"/>
    <n v="1"/>
    <n v="1"/>
    <n v="1"/>
    <n v="1"/>
    <n v="1"/>
    <n v="294"/>
    <n v="294"/>
    <m/>
    <n v="1.4"/>
    <n v="411.59999999999997"/>
    <n v="684"/>
    <n v="0"/>
    <n v="281534.39999999997"/>
  </r>
  <r>
    <s v="Interný agendový informačný systém KSED"/>
    <x v="4"/>
    <s v="1.4 Dokumentácia"/>
    <m/>
    <m/>
    <m/>
    <m/>
    <m/>
    <m/>
    <m/>
    <m/>
    <m/>
    <m/>
    <m/>
    <m/>
    <n v="1"/>
    <m/>
    <m/>
    <m/>
    <m/>
    <n v="1"/>
    <m/>
    <n v="1"/>
    <m/>
    <n v="1"/>
    <m/>
    <n v="1"/>
    <n v="1"/>
    <n v="126"/>
    <n v="126"/>
    <m/>
    <n v="6.0000000000000005E-2"/>
    <n v="7.5600000000000005"/>
    <n v="684"/>
    <n v="0"/>
    <n v="5171.04"/>
  </r>
  <r>
    <s v="Interný agendový informačný systém KSED"/>
    <x v="5"/>
    <s v="1.5 Migrácia údajov"/>
    <m/>
    <m/>
    <m/>
    <m/>
    <m/>
    <m/>
    <m/>
    <m/>
    <m/>
    <m/>
    <n v="1"/>
    <n v="1"/>
    <n v="1"/>
    <m/>
    <n v="1"/>
    <n v="1"/>
    <n v="1"/>
    <n v="1"/>
    <m/>
    <n v="1"/>
    <m/>
    <n v="1"/>
    <m/>
    <m/>
    <n v="1"/>
    <n v="210"/>
    <n v="210"/>
    <m/>
    <n v="3"/>
    <n v="630"/>
    <n v="780"/>
    <n v="0"/>
    <n v="491400"/>
  </r>
  <r>
    <s v="Interný agendový informačný systém KSED"/>
    <x v="6"/>
    <s v="1.6 Nasadenie do rutinnej prevádzky"/>
    <m/>
    <m/>
    <m/>
    <m/>
    <m/>
    <m/>
    <m/>
    <m/>
    <m/>
    <m/>
    <m/>
    <m/>
    <n v="1"/>
    <m/>
    <m/>
    <m/>
    <m/>
    <n v="1"/>
    <m/>
    <m/>
    <m/>
    <n v="1"/>
    <m/>
    <m/>
    <n v="1"/>
    <n v="84"/>
    <n v="84"/>
    <m/>
    <n v="0.12"/>
    <n v="10.08"/>
    <n v="948"/>
    <n v="0"/>
    <n v="9555.84"/>
  </r>
  <r>
    <s v="Interný agendový informačný systém KSED"/>
    <x v="0"/>
    <s v="Modul Riadenie interných procesných služieb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Interný agendový informačný systém KSED"/>
    <x v="1"/>
    <s v="1.1 Analýza a návrh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504"/>
    <n v="504"/>
    <m/>
    <n v="0.32"/>
    <n v="161.28"/>
    <n v="888"/>
    <n v="0"/>
    <n v="143216.64000000001"/>
  </r>
  <r>
    <s v="Interný agendový informačný systém KSED"/>
    <x v="2"/>
    <s v="1.2 Vývoj"/>
    <m/>
    <m/>
    <m/>
    <m/>
    <m/>
    <m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378"/>
    <n v="378"/>
    <m/>
    <n v="1.25"/>
    <n v="472.5"/>
    <n v="780"/>
    <n v="0"/>
    <n v="368550"/>
  </r>
  <r>
    <s v="Interný agendový informačný systém KSED"/>
    <x v="3"/>
    <s v="1.3 Testovanie"/>
    <m/>
    <m/>
    <m/>
    <m/>
    <m/>
    <m/>
    <m/>
    <m/>
    <m/>
    <n v="1"/>
    <n v="1"/>
    <n v="1"/>
    <n v="1"/>
    <m/>
    <n v="1"/>
    <n v="1"/>
    <n v="1"/>
    <n v="1"/>
    <m/>
    <n v="1"/>
    <n v="1"/>
    <n v="1"/>
    <n v="1"/>
    <n v="1"/>
    <n v="1"/>
    <n v="294"/>
    <n v="294"/>
    <m/>
    <n v="0.32"/>
    <n v="94.08"/>
    <n v="684"/>
    <n v="0"/>
    <n v="64350.720000000001"/>
  </r>
  <r>
    <s v="Interný agendový informačný systém KSED"/>
    <x v="4"/>
    <s v="1.4 Dokumentácia"/>
    <m/>
    <m/>
    <m/>
    <m/>
    <m/>
    <m/>
    <m/>
    <m/>
    <m/>
    <m/>
    <m/>
    <m/>
    <n v="1"/>
    <m/>
    <m/>
    <m/>
    <m/>
    <n v="1"/>
    <m/>
    <n v="1"/>
    <m/>
    <n v="1"/>
    <m/>
    <n v="1"/>
    <n v="1"/>
    <n v="126"/>
    <n v="126"/>
    <m/>
    <n v="0.02"/>
    <n v="2.52"/>
    <n v="684"/>
    <n v="0"/>
    <n v="1723.68"/>
  </r>
  <r>
    <s v="Interný agendový informačný systém KSED"/>
    <x v="5"/>
    <s v="1.5 Migrácia údajov"/>
    <m/>
    <m/>
    <m/>
    <m/>
    <m/>
    <m/>
    <m/>
    <m/>
    <m/>
    <m/>
    <n v="1"/>
    <n v="1"/>
    <n v="1"/>
    <m/>
    <n v="1"/>
    <n v="1"/>
    <n v="1"/>
    <n v="1"/>
    <m/>
    <n v="1"/>
    <m/>
    <n v="1"/>
    <m/>
    <m/>
    <n v="1"/>
    <n v="210"/>
    <n v="210"/>
    <m/>
    <n v="0.69000000000000006"/>
    <n v="144.9"/>
    <n v="780"/>
    <n v="0"/>
    <n v="113022"/>
  </r>
  <r>
    <s v="Interný agendový informačný systém KSED"/>
    <x v="6"/>
    <s v="1.6 Nasadenie do rutinnej prevádzky"/>
    <m/>
    <m/>
    <m/>
    <m/>
    <m/>
    <m/>
    <m/>
    <m/>
    <m/>
    <m/>
    <m/>
    <m/>
    <n v="1"/>
    <m/>
    <m/>
    <m/>
    <m/>
    <n v="1"/>
    <m/>
    <m/>
    <m/>
    <n v="1"/>
    <m/>
    <m/>
    <n v="1"/>
    <n v="84"/>
    <n v="84"/>
    <m/>
    <n v="0.03"/>
    <n v="2.52"/>
    <n v="948"/>
    <n v="0"/>
    <n v="2388.96"/>
  </r>
  <r>
    <s v="Interný agendový informačný systém KSED"/>
    <x v="0"/>
    <s v="Modul Plánovanie kontrolných činností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Interný agendový informačný systém KSED"/>
    <x v="1"/>
    <s v="1.1 Analýza a návrh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504"/>
    <n v="504"/>
    <m/>
    <n v="0.15000000000000002"/>
    <n v="75.600000000000009"/>
    <n v="888"/>
    <n v="0"/>
    <n v="67132.800000000003"/>
  </r>
  <r>
    <s v="Interný agendový informačný systém KSED"/>
    <x v="2"/>
    <s v="1.2 Vývoj"/>
    <m/>
    <m/>
    <m/>
    <m/>
    <m/>
    <m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378"/>
    <n v="378"/>
    <m/>
    <n v="0.57000000000000006"/>
    <n v="215.46000000000004"/>
    <n v="780"/>
    <n v="0"/>
    <n v="168058.80000000002"/>
  </r>
  <r>
    <s v="Interný agendový informačný systém KSED"/>
    <x v="3"/>
    <s v="1.3 Testovanie"/>
    <m/>
    <m/>
    <m/>
    <m/>
    <m/>
    <m/>
    <m/>
    <m/>
    <m/>
    <n v="1"/>
    <n v="1"/>
    <n v="1"/>
    <n v="1"/>
    <m/>
    <n v="1"/>
    <n v="1"/>
    <n v="1"/>
    <n v="1"/>
    <m/>
    <n v="1"/>
    <n v="1"/>
    <n v="1"/>
    <n v="1"/>
    <n v="1"/>
    <n v="1"/>
    <n v="294"/>
    <n v="294"/>
    <m/>
    <n v="0.15000000000000002"/>
    <n v="44.100000000000009"/>
    <n v="684"/>
    <n v="0"/>
    <n v="30164.400000000005"/>
  </r>
  <r>
    <s v="Interný agendový informačný systém KSED"/>
    <x v="4"/>
    <s v="1.4 Dokumentácia"/>
    <m/>
    <m/>
    <m/>
    <m/>
    <m/>
    <m/>
    <m/>
    <m/>
    <m/>
    <m/>
    <m/>
    <m/>
    <n v="1"/>
    <m/>
    <m/>
    <m/>
    <m/>
    <n v="1"/>
    <m/>
    <n v="1"/>
    <m/>
    <n v="1"/>
    <m/>
    <n v="1"/>
    <n v="1"/>
    <n v="126"/>
    <n v="126"/>
    <m/>
    <n v="0.01"/>
    <n v="1.26"/>
    <n v="684"/>
    <n v="0"/>
    <n v="861.84"/>
  </r>
  <r>
    <s v="Interný agendový informačný systém KSED"/>
    <x v="5"/>
    <s v="1.5 Migrácia údajov"/>
    <m/>
    <m/>
    <m/>
    <m/>
    <m/>
    <m/>
    <m/>
    <m/>
    <m/>
    <m/>
    <n v="1"/>
    <n v="1"/>
    <n v="1"/>
    <m/>
    <n v="1"/>
    <n v="1"/>
    <n v="1"/>
    <n v="1"/>
    <m/>
    <n v="1"/>
    <m/>
    <n v="1"/>
    <m/>
    <m/>
    <n v="1"/>
    <n v="210"/>
    <n v="210"/>
    <m/>
    <n v="0.31"/>
    <n v="65.099999999999994"/>
    <n v="780"/>
    <n v="0"/>
    <n v="50777.999999999993"/>
  </r>
  <r>
    <s v="Interný agendový informačný systém KSED"/>
    <x v="6"/>
    <s v="1.6 Nasadenie do rutinnej prevádzky"/>
    <m/>
    <m/>
    <m/>
    <m/>
    <m/>
    <m/>
    <m/>
    <m/>
    <m/>
    <m/>
    <m/>
    <m/>
    <n v="1"/>
    <m/>
    <m/>
    <m/>
    <m/>
    <n v="1"/>
    <m/>
    <m/>
    <m/>
    <n v="1"/>
    <m/>
    <m/>
    <n v="1"/>
    <n v="84"/>
    <n v="84"/>
    <m/>
    <n v="0.02"/>
    <n v="1.68"/>
    <n v="948"/>
    <n v="0"/>
    <n v="1592.6399999999999"/>
  </r>
  <r>
    <s v="Interný agendový informačný systém KSED"/>
    <x v="0"/>
    <s v="Modul Správne konani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Interný agendový informačný systém KSED"/>
    <x v="1"/>
    <s v="1.1 Analýza a návrh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504"/>
    <n v="504"/>
    <m/>
    <n v="0.22"/>
    <n v="110.88"/>
    <n v="888"/>
    <n v="0"/>
    <n v="98461.440000000002"/>
  </r>
  <r>
    <s v="Interný agendový informačný systém KSED"/>
    <x v="2"/>
    <s v="1.2 Vývoj"/>
    <m/>
    <m/>
    <m/>
    <m/>
    <m/>
    <m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378"/>
    <n v="378"/>
    <m/>
    <n v="0.86"/>
    <n v="325.08"/>
    <n v="780"/>
    <n v="0"/>
    <n v="253562.4"/>
  </r>
  <r>
    <s v="Interný agendový informačný systém KSED"/>
    <x v="3"/>
    <s v="1.3 Testovanie"/>
    <m/>
    <m/>
    <m/>
    <m/>
    <m/>
    <m/>
    <m/>
    <m/>
    <m/>
    <n v="1"/>
    <n v="1"/>
    <n v="1"/>
    <n v="1"/>
    <m/>
    <n v="1"/>
    <n v="1"/>
    <n v="1"/>
    <n v="1"/>
    <m/>
    <n v="1"/>
    <n v="1"/>
    <n v="1"/>
    <n v="1"/>
    <n v="1"/>
    <n v="1"/>
    <n v="294"/>
    <n v="294"/>
    <m/>
    <n v="0.22"/>
    <n v="64.680000000000007"/>
    <n v="684"/>
    <n v="0"/>
    <n v="44241.120000000003"/>
  </r>
  <r>
    <s v="Interný agendový informačný systém KSED"/>
    <x v="4"/>
    <s v="1.4 Dokumentácia"/>
    <m/>
    <m/>
    <m/>
    <m/>
    <m/>
    <m/>
    <m/>
    <m/>
    <m/>
    <m/>
    <m/>
    <m/>
    <n v="1"/>
    <m/>
    <m/>
    <m/>
    <m/>
    <n v="1"/>
    <m/>
    <n v="1"/>
    <m/>
    <n v="1"/>
    <m/>
    <n v="1"/>
    <n v="1"/>
    <n v="126"/>
    <n v="126"/>
    <m/>
    <n v="0.01"/>
    <n v="1.26"/>
    <n v="684"/>
    <n v="0"/>
    <n v="861.84"/>
  </r>
  <r>
    <s v="Interný agendový informačný systém KSED"/>
    <x v="5"/>
    <s v="1.5 Migrácia údajov"/>
    <m/>
    <m/>
    <m/>
    <m/>
    <m/>
    <m/>
    <m/>
    <m/>
    <m/>
    <m/>
    <n v="1"/>
    <n v="1"/>
    <n v="1"/>
    <m/>
    <n v="1"/>
    <n v="1"/>
    <n v="1"/>
    <n v="1"/>
    <m/>
    <n v="1"/>
    <m/>
    <n v="1"/>
    <m/>
    <m/>
    <n v="1"/>
    <n v="210"/>
    <n v="210"/>
    <m/>
    <n v="0.47000000000000003"/>
    <n v="98.7"/>
    <n v="780"/>
    <n v="0"/>
    <n v="76986"/>
  </r>
  <r>
    <s v="Interný agendový informačný systém KSED"/>
    <x v="6"/>
    <s v="1.6 Nasadenie do rutinnej prevádzky"/>
    <m/>
    <m/>
    <m/>
    <m/>
    <m/>
    <m/>
    <m/>
    <m/>
    <m/>
    <m/>
    <m/>
    <m/>
    <n v="1"/>
    <m/>
    <m/>
    <m/>
    <m/>
    <n v="1"/>
    <m/>
    <m/>
    <m/>
    <n v="1"/>
    <m/>
    <m/>
    <n v="1"/>
    <n v="84"/>
    <n v="84"/>
    <m/>
    <n v="0.02"/>
    <n v="1.68"/>
    <n v="948"/>
    <n v="0"/>
    <n v="1592.6399999999999"/>
  </r>
  <r>
    <s v="Interný agendový informačný systém KSED"/>
    <x v="0"/>
    <s v="Modul Analýzy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Interný agendový informačný systém KSED"/>
    <x v="1"/>
    <s v="1.1 Analýza a návrh - analytik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504"/>
    <n v="504"/>
    <m/>
    <n v="0.33"/>
    <n v="166.32000000000002"/>
    <n v="888"/>
    <n v="0"/>
    <n v="147692.16000000003"/>
  </r>
  <r>
    <s v="Interný agendový informačný systém KSED"/>
    <x v="2"/>
    <s v="1.2 Vývoj - programátor"/>
    <m/>
    <m/>
    <m/>
    <m/>
    <m/>
    <m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378"/>
    <n v="378"/>
    <m/>
    <n v="1.3"/>
    <n v="491.40000000000003"/>
    <n v="780"/>
    <n v="0"/>
    <n v="383292"/>
  </r>
  <r>
    <s v="Interný agendový informačný systém KSED"/>
    <x v="3"/>
    <s v="1.3 Testovanie - tester"/>
    <m/>
    <m/>
    <m/>
    <m/>
    <m/>
    <m/>
    <m/>
    <m/>
    <m/>
    <n v="1"/>
    <n v="1"/>
    <n v="1"/>
    <n v="1"/>
    <m/>
    <n v="1"/>
    <n v="1"/>
    <n v="1"/>
    <n v="1"/>
    <m/>
    <n v="1"/>
    <n v="1"/>
    <n v="1"/>
    <n v="1"/>
    <n v="1"/>
    <n v="1"/>
    <n v="294"/>
    <n v="294"/>
    <m/>
    <n v="0.33"/>
    <n v="97.02000000000001"/>
    <n v="684"/>
    <n v="0"/>
    <n v="66361.680000000008"/>
  </r>
  <r>
    <s v="Interný agendový informačný systém KSED"/>
    <x v="4"/>
    <s v="1.4 Dokumentácia - dokumentarista"/>
    <m/>
    <m/>
    <m/>
    <m/>
    <m/>
    <m/>
    <m/>
    <m/>
    <m/>
    <m/>
    <m/>
    <m/>
    <n v="1"/>
    <m/>
    <m/>
    <m/>
    <m/>
    <n v="1"/>
    <m/>
    <n v="1"/>
    <m/>
    <n v="1"/>
    <m/>
    <n v="1"/>
    <n v="1"/>
    <n v="126"/>
    <n v="126"/>
    <m/>
    <n v="0.02"/>
    <n v="2.52"/>
    <n v="684"/>
    <n v="0"/>
    <n v="1723.68"/>
  </r>
  <r>
    <s v="Interný agendový informačný systém KSED"/>
    <x v="5"/>
    <s v="1.5 Migrácia údajov - programátor"/>
    <m/>
    <m/>
    <m/>
    <m/>
    <m/>
    <m/>
    <m/>
    <m/>
    <m/>
    <m/>
    <n v="1"/>
    <n v="1"/>
    <n v="1"/>
    <m/>
    <n v="1"/>
    <n v="1"/>
    <n v="1"/>
    <n v="1"/>
    <m/>
    <n v="1"/>
    <m/>
    <n v="1"/>
    <m/>
    <m/>
    <n v="1"/>
    <n v="210"/>
    <n v="210"/>
    <m/>
    <n v="0.7"/>
    <n v="147"/>
    <n v="780"/>
    <n v="0"/>
    <n v="114660"/>
  </r>
  <r>
    <s v="Interný agendový informačný systém KSED"/>
    <x v="6"/>
    <s v="1.6 Nasadenie do rutinnej prevádzky - administrátor"/>
    <m/>
    <m/>
    <m/>
    <m/>
    <m/>
    <m/>
    <m/>
    <m/>
    <m/>
    <m/>
    <m/>
    <m/>
    <n v="1"/>
    <m/>
    <m/>
    <m/>
    <m/>
    <n v="1"/>
    <m/>
    <m/>
    <m/>
    <n v="1"/>
    <m/>
    <m/>
    <n v="1"/>
    <n v="84"/>
    <n v="84"/>
    <m/>
    <n v="0.03"/>
    <n v="2.52"/>
    <n v="948"/>
    <n v="0"/>
    <n v="2388.96"/>
  </r>
  <r>
    <s v="Interný agendový informačný systém KSED"/>
    <x v="0"/>
    <s v="Modul Podnety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Interný agendový informačný systém KSED"/>
    <x v="1"/>
    <s v="1.1 Analýza a návrh - analytik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504"/>
    <n v="504"/>
    <m/>
    <n v="0.12"/>
    <n v="60.48"/>
    <n v="888"/>
    <n v="0"/>
    <n v="53706.239999999998"/>
  </r>
  <r>
    <s v="Interný agendový informačný systém KSED"/>
    <x v="2"/>
    <s v="1.2 Vývoj - programátor"/>
    <m/>
    <m/>
    <m/>
    <m/>
    <m/>
    <m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378"/>
    <n v="378"/>
    <m/>
    <n v="0.48"/>
    <n v="181.44"/>
    <n v="780"/>
    <n v="0"/>
    <n v="141523.20000000001"/>
  </r>
  <r>
    <s v="Interný agendový informačný systém KSED"/>
    <x v="3"/>
    <s v="1.3 Testovanie - tester"/>
    <m/>
    <m/>
    <m/>
    <m/>
    <m/>
    <m/>
    <m/>
    <m/>
    <m/>
    <n v="1"/>
    <n v="1"/>
    <n v="1"/>
    <n v="1"/>
    <m/>
    <n v="1"/>
    <n v="1"/>
    <n v="1"/>
    <n v="1"/>
    <m/>
    <n v="1"/>
    <n v="1"/>
    <n v="1"/>
    <n v="1"/>
    <n v="1"/>
    <n v="1"/>
    <n v="294"/>
    <n v="294"/>
    <m/>
    <n v="0.12"/>
    <n v="35.28"/>
    <n v="684"/>
    <n v="0"/>
    <n v="24131.52"/>
  </r>
  <r>
    <s v="Interný agendový informačný systém KSED"/>
    <x v="4"/>
    <s v="1.4 Dokumentácia - dokumentarista"/>
    <m/>
    <m/>
    <m/>
    <m/>
    <m/>
    <m/>
    <m/>
    <m/>
    <m/>
    <m/>
    <m/>
    <m/>
    <n v="1"/>
    <m/>
    <m/>
    <m/>
    <m/>
    <n v="1"/>
    <m/>
    <n v="1"/>
    <m/>
    <n v="1"/>
    <m/>
    <n v="1"/>
    <n v="1"/>
    <n v="126"/>
    <n v="126"/>
    <m/>
    <n v="0.01"/>
    <n v="1.26"/>
    <n v="684"/>
    <n v="0"/>
    <n v="861.84"/>
  </r>
  <r>
    <s v="Interný agendový informačný systém KSED"/>
    <x v="5"/>
    <s v="1.5 Migrácia údajov - programátor"/>
    <m/>
    <m/>
    <m/>
    <m/>
    <m/>
    <m/>
    <m/>
    <m/>
    <m/>
    <m/>
    <n v="1"/>
    <n v="1"/>
    <n v="1"/>
    <m/>
    <n v="1"/>
    <n v="1"/>
    <n v="1"/>
    <n v="1"/>
    <m/>
    <n v="1"/>
    <m/>
    <n v="1"/>
    <m/>
    <m/>
    <n v="1"/>
    <n v="210"/>
    <n v="210"/>
    <m/>
    <n v="0.26"/>
    <n v="54.6"/>
    <n v="780"/>
    <n v="0"/>
    <n v="42588"/>
  </r>
  <r>
    <s v="Interný agendový informačný systém KSED"/>
    <x v="6"/>
    <s v="1.6 Nasadenie do rutinnej prevádzky - administrátor"/>
    <m/>
    <m/>
    <m/>
    <m/>
    <m/>
    <m/>
    <m/>
    <m/>
    <m/>
    <m/>
    <m/>
    <m/>
    <n v="1"/>
    <m/>
    <m/>
    <m/>
    <m/>
    <n v="1"/>
    <m/>
    <m/>
    <m/>
    <n v="1"/>
    <m/>
    <m/>
    <n v="1"/>
    <n v="84"/>
    <n v="84"/>
    <m/>
    <n v="0.01"/>
    <n v="0.84"/>
    <n v="948"/>
    <n v="0"/>
    <n v="796.31999999999994"/>
  </r>
  <r>
    <s v="Interný agendový informačný systém KSED"/>
    <x v="0"/>
    <s v="Modul Vyhodnocovanie  a reporti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Interný agendový informačný systém KSED"/>
    <x v="1"/>
    <s v="1.1 Analýza a návrh - analytik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504"/>
    <n v="504"/>
    <m/>
    <n v="0.15000000000000002"/>
    <n v="75.600000000000009"/>
    <n v="888"/>
    <n v="0"/>
    <n v="67132.800000000003"/>
  </r>
  <r>
    <s v="Interný agendový informačný systém KSED"/>
    <x v="2"/>
    <s v="1.2 Vývoj - programátor"/>
    <m/>
    <m/>
    <m/>
    <m/>
    <m/>
    <m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378"/>
    <n v="378"/>
    <m/>
    <n v="0.6"/>
    <n v="226.79999999999998"/>
    <n v="780"/>
    <n v="0"/>
    <n v="176904"/>
  </r>
  <r>
    <s v="Interný agendový informačný systém KSED"/>
    <x v="3"/>
    <s v="1.3 Testovanie - tester"/>
    <m/>
    <m/>
    <m/>
    <m/>
    <m/>
    <m/>
    <m/>
    <m/>
    <m/>
    <n v="1"/>
    <n v="1"/>
    <n v="1"/>
    <n v="1"/>
    <m/>
    <n v="1"/>
    <n v="1"/>
    <n v="1"/>
    <n v="1"/>
    <m/>
    <n v="1"/>
    <n v="1"/>
    <n v="1"/>
    <n v="1"/>
    <n v="1"/>
    <n v="1"/>
    <n v="294"/>
    <n v="294"/>
    <m/>
    <n v="0.15000000000000002"/>
    <n v="44.100000000000009"/>
    <n v="684"/>
    <n v="0"/>
    <n v="30164.400000000005"/>
  </r>
  <r>
    <s v="Interný agendový informačný systém KSED"/>
    <x v="4"/>
    <s v="1.4 Dokumentácia - dokumentarista"/>
    <m/>
    <m/>
    <m/>
    <m/>
    <m/>
    <m/>
    <m/>
    <m/>
    <m/>
    <m/>
    <m/>
    <m/>
    <n v="1"/>
    <m/>
    <m/>
    <m/>
    <m/>
    <n v="1"/>
    <m/>
    <n v="1"/>
    <m/>
    <n v="1"/>
    <m/>
    <n v="1"/>
    <n v="1"/>
    <n v="126"/>
    <n v="126"/>
    <m/>
    <n v="0.01"/>
    <n v="1.26"/>
    <n v="684"/>
    <n v="0"/>
    <n v="861.84"/>
  </r>
  <r>
    <s v="Interný agendový informačný systém KSED"/>
    <x v="5"/>
    <s v="1.5 Migrácia údajov - programátor"/>
    <m/>
    <m/>
    <m/>
    <m/>
    <m/>
    <m/>
    <m/>
    <m/>
    <m/>
    <m/>
    <n v="1"/>
    <n v="1"/>
    <n v="1"/>
    <m/>
    <n v="1"/>
    <n v="1"/>
    <n v="1"/>
    <n v="1"/>
    <m/>
    <n v="1"/>
    <m/>
    <n v="1"/>
    <m/>
    <m/>
    <n v="1"/>
    <n v="210"/>
    <n v="210"/>
    <m/>
    <n v="0.3"/>
    <n v="63"/>
    <n v="780"/>
    <n v="0"/>
    <n v="49140"/>
  </r>
  <r>
    <s v="Interný agendový informačný systém KSED"/>
    <x v="6"/>
    <s v="1.6 Nasadenie do rutinnej prevádzky - administrátor"/>
    <m/>
    <m/>
    <m/>
    <m/>
    <m/>
    <m/>
    <m/>
    <m/>
    <m/>
    <m/>
    <m/>
    <m/>
    <n v="1"/>
    <m/>
    <m/>
    <m/>
    <m/>
    <n v="1"/>
    <m/>
    <m/>
    <m/>
    <n v="1"/>
    <m/>
    <m/>
    <n v="1"/>
    <n v="84"/>
    <n v="84"/>
    <m/>
    <n v="0.02"/>
    <n v="1.68"/>
    <n v="948"/>
    <n v="0"/>
    <n v="1592.6399999999999"/>
  </r>
  <r>
    <s v=" Mobilný agendový informačný systém KSED"/>
    <x v="0"/>
    <s v="2. Mobilný Agendový informačný systém KSED"/>
    <m/>
    <m/>
    <m/>
    <m/>
    <m/>
    <m/>
    <m/>
    <m/>
    <m/>
    <m/>
    <m/>
    <m/>
    <m/>
    <m/>
    <m/>
    <m/>
    <m/>
    <m/>
    <m/>
    <m/>
    <m/>
    <m/>
    <m/>
    <m/>
    <m/>
    <m/>
    <m/>
    <m/>
    <s v="Spolu MDs na modul"/>
    <n v="952.14"/>
    <m/>
    <m/>
    <m/>
  </r>
  <r>
    <s v=" Mobilný agendový informačný systém KSED"/>
    <x v="1"/>
    <s v="2.1 Analýza a návrh"/>
    <m/>
    <m/>
    <m/>
    <m/>
    <m/>
    <m/>
    <m/>
    <n v="1"/>
    <n v="1"/>
    <n v="1"/>
    <n v="1"/>
    <n v="1"/>
    <n v="1"/>
    <n v="1"/>
    <n v="1"/>
    <n v="1"/>
    <n v="1"/>
    <n v="1"/>
    <m/>
    <m/>
    <m/>
    <m/>
    <m/>
    <m/>
    <m/>
    <n v="231"/>
    <n v="231"/>
    <m/>
    <n v="0.125"/>
    <n v="28.875"/>
    <n v="888"/>
    <n v="0"/>
    <n v="25641"/>
  </r>
  <r>
    <s v=" Mobilný agendový informačný systém KSED"/>
    <x v="2"/>
    <s v="2.2 Vývoj"/>
    <m/>
    <m/>
    <m/>
    <m/>
    <m/>
    <m/>
    <m/>
    <n v="1"/>
    <n v="1"/>
    <n v="1"/>
    <n v="1"/>
    <n v="1"/>
    <n v="1"/>
    <n v="1"/>
    <n v="1"/>
    <n v="1"/>
    <n v="1"/>
    <n v="1"/>
    <m/>
    <m/>
    <m/>
    <m/>
    <m/>
    <m/>
    <m/>
    <n v="231"/>
    <n v="231"/>
    <m/>
    <n v="1.25"/>
    <n v="288.75"/>
    <n v="780"/>
    <n v="0"/>
    <n v="225225"/>
  </r>
  <r>
    <s v=" Mobilný agendový informačný systém KSED"/>
    <x v="3"/>
    <s v="2.3 Testovanie"/>
    <m/>
    <m/>
    <m/>
    <m/>
    <m/>
    <m/>
    <m/>
    <m/>
    <m/>
    <m/>
    <n v="1"/>
    <n v="1"/>
    <n v="1"/>
    <m/>
    <n v="1"/>
    <n v="1"/>
    <n v="1"/>
    <n v="1"/>
    <m/>
    <m/>
    <m/>
    <m/>
    <m/>
    <m/>
    <m/>
    <n v="147"/>
    <n v="147"/>
    <m/>
    <n v="0.25"/>
    <n v="36.75"/>
    <n v="684"/>
    <n v="0"/>
    <n v="25137"/>
  </r>
  <r>
    <s v=" Mobilný agendový informačný systém KSED"/>
    <x v="4"/>
    <s v="2.4 Dokumentácia"/>
    <m/>
    <m/>
    <m/>
    <m/>
    <m/>
    <m/>
    <m/>
    <m/>
    <m/>
    <m/>
    <m/>
    <m/>
    <n v="1"/>
    <m/>
    <m/>
    <n v="1"/>
    <m/>
    <n v="1"/>
    <m/>
    <m/>
    <m/>
    <m/>
    <m/>
    <m/>
    <m/>
    <n v="63"/>
    <n v="63"/>
    <m/>
    <n v="0.125"/>
    <n v="7.875"/>
    <n v="684"/>
    <n v="0"/>
    <n v="5386.5"/>
  </r>
  <r>
    <s v=" Mobilný agendový informačný systém KSED"/>
    <x v="6"/>
    <s v="2.5 Nasadenie do rutinnej prevádzky"/>
    <m/>
    <m/>
    <m/>
    <m/>
    <m/>
    <m/>
    <m/>
    <m/>
    <m/>
    <m/>
    <m/>
    <m/>
    <n v="1"/>
    <m/>
    <m/>
    <m/>
    <m/>
    <n v="1"/>
    <m/>
    <m/>
    <m/>
    <m/>
    <m/>
    <m/>
    <m/>
    <n v="42"/>
    <n v="42"/>
    <m/>
    <n v="0.125"/>
    <n v="5.25"/>
    <n v="948"/>
    <n v="0"/>
    <n v="4977"/>
  </r>
  <r>
    <s v="Verejný portál KSED"/>
    <x v="0"/>
    <s v="3. Verejný portál KSED"/>
    <m/>
    <m/>
    <m/>
    <m/>
    <m/>
    <m/>
    <m/>
    <m/>
    <m/>
    <m/>
    <m/>
    <m/>
    <m/>
    <m/>
    <m/>
    <m/>
    <m/>
    <m/>
    <m/>
    <m/>
    <m/>
    <m/>
    <m/>
    <m/>
    <m/>
    <m/>
    <m/>
    <m/>
    <s v="Spolu MDs na modul"/>
    <n v="367.5"/>
    <m/>
    <m/>
    <m/>
  </r>
  <r>
    <s v="Interný agendový informačný systém KSED"/>
    <x v="1"/>
    <s v="3.1 Analýza a návrh"/>
    <m/>
    <m/>
    <m/>
    <m/>
    <m/>
    <m/>
    <m/>
    <m/>
    <n v="1"/>
    <n v="1"/>
    <n v="1"/>
    <n v="1"/>
    <m/>
    <n v="1"/>
    <n v="1"/>
    <m/>
    <m/>
    <m/>
    <n v="1"/>
    <n v="1"/>
    <m/>
    <m/>
    <m/>
    <m/>
    <m/>
    <n v="168"/>
    <n v="168"/>
    <m/>
    <n v="0.25"/>
    <n v="42"/>
    <n v="888"/>
    <n v="0"/>
    <n v="37296"/>
  </r>
  <r>
    <s v="Interný agendový informačný systém KSED"/>
    <x v="2"/>
    <s v="3.2 Vývoj"/>
    <m/>
    <m/>
    <m/>
    <m/>
    <m/>
    <m/>
    <m/>
    <m/>
    <m/>
    <m/>
    <m/>
    <n v="1"/>
    <n v="1"/>
    <n v="1"/>
    <n v="1"/>
    <n v="1"/>
    <n v="1"/>
    <n v="1"/>
    <n v="1"/>
    <n v="1"/>
    <n v="1"/>
    <n v="1"/>
    <m/>
    <m/>
    <m/>
    <n v="231"/>
    <n v="231"/>
    <m/>
    <n v="1"/>
    <n v="231"/>
    <n v="780"/>
    <n v="0"/>
    <n v="180180"/>
  </r>
  <r>
    <s v="Interný agendový informačný systém KSED"/>
    <x v="3"/>
    <s v="3.3 Testovanie"/>
    <m/>
    <m/>
    <m/>
    <m/>
    <m/>
    <m/>
    <m/>
    <m/>
    <m/>
    <m/>
    <m/>
    <m/>
    <m/>
    <m/>
    <m/>
    <m/>
    <m/>
    <m/>
    <m/>
    <m/>
    <m/>
    <n v="1"/>
    <n v="1"/>
    <m/>
    <m/>
    <n v="42"/>
    <n v="42"/>
    <m/>
    <n v="0.75"/>
    <n v="31.5"/>
    <n v="684"/>
    <n v="0"/>
    <n v="21546"/>
  </r>
  <r>
    <s v="Interný agendový informačný systém KSED"/>
    <x v="4"/>
    <s v="3.4 Dokumentácia"/>
    <m/>
    <m/>
    <m/>
    <m/>
    <m/>
    <m/>
    <m/>
    <m/>
    <m/>
    <m/>
    <m/>
    <m/>
    <m/>
    <m/>
    <m/>
    <m/>
    <m/>
    <m/>
    <m/>
    <m/>
    <m/>
    <m/>
    <n v="1"/>
    <m/>
    <m/>
    <n v="21"/>
    <n v="21"/>
    <m/>
    <n v="0.125"/>
    <n v="2.625"/>
    <n v="684"/>
    <n v="0"/>
    <n v="1795.5"/>
  </r>
  <r>
    <s v="Interný agendový informačný systém KSED"/>
    <x v="5"/>
    <s v="3.5 Migrácia údajov"/>
    <m/>
    <m/>
    <m/>
    <m/>
    <m/>
    <m/>
    <m/>
    <m/>
    <m/>
    <m/>
    <m/>
    <m/>
    <m/>
    <m/>
    <m/>
    <m/>
    <m/>
    <m/>
    <m/>
    <m/>
    <m/>
    <n v="1"/>
    <n v="1"/>
    <m/>
    <m/>
    <n v="42"/>
    <n v="42"/>
    <m/>
    <n v="0.5"/>
    <n v="21"/>
    <n v="780"/>
    <n v="0"/>
    <n v="16380"/>
  </r>
  <r>
    <s v="Interný agendový informačný systém KSED"/>
    <x v="6"/>
    <s v="3.6 Nasadenie do rutinnej prevádzky"/>
    <m/>
    <m/>
    <m/>
    <m/>
    <m/>
    <m/>
    <m/>
    <m/>
    <m/>
    <m/>
    <m/>
    <m/>
    <m/>
    <m/>
    <m/>
    <m/>
    <m/>
    <m/>
    <m/>
    <m/>
    <m/>
    <m/>
    <n v="1"/>
    <m/>
    <m/>
    <n v="21"/>
    <n v="21"/>
    <m/>
    <n v="0.125"/>
    <n v="2.625"/>
    <n v="948"/>
    <n v="0"/>
    <n v="2488.5"/>
  </r>
  <r>
    <s v="Mobilná aplikácia KSED"/>
    <x v="0"/>
    <s v="4. Mobilná aplikácia Podnety"/>
    <m/>
    <m/>
    <m/>
    <m/>
    <m/>
    <m/>
    <m/>
    <m/>
    <m/>
    <m/>
    <m/>
    <m/>
    <m/>
    <m/>
    <m/>
    <m/>
    <m/>
    <m/>
    <m/>
    <m/>
    <m/>
    <m/>
    <m/>
    <m/>
    <m/>
    <m/>
    <m/>
    <m/>
    <s v="Spolu MDs na modul"/>
    <n v="330.75"/>
    <m/>
    <m/>
    <m/>
  </r>
  <r>
    <s v="Mobilná aplikácia KSED"/>
    <x v="1"/>
    <s v="4.1 Analýza a návrh"/>
    <m/>
    <m/>
    <m/>
    <m/>
    <m/>
    <m/>
    <m/>
    <m/>
    <m/>
    <m/>
    <m/>
    <m/>
    <m/>
    <m/>
    <m/>
    <m/>
    <m/>
    <m/>
    <m/>
    <m/>
    <m/>
    <m/>
    <n v="1"/>
    <n v="1"/>
    <m/>
    <n v="42"/>
    <n v="42"/>
    <m/>
    <n v="0.125"/>
    <n v="5.25"/>
    <n v="888"/>
    <n v="0"/>
    <n v="4662"/>
  </r>
  <r>
    <s v="Mobilná aplikácia KSED"/>
    <x v="2"/>
    <s v="4.2 Vývoj"/>
    <m/>
    <m/>
    <m/>
    <m/>
    <m/>
    <m/>
    <m/>
    <m/>
    <m/>
    <m/>
    <m/>
    <m/>
    <m/>
    <m/>
    <m/>
    <m/>
    <m/>
    <m/>
    <m/>
    <m/>
    <m/>
    <m/>
    <n v="1"/>
    <n v="1"/>
    <m/>
    <n v="42"/>
    <n v="42"/>
    <m/>
    <n v="0.125"/>
    <n v="5.25"/>
    <n v="780"/>
    <n v="0"/>
    <n v="4095"/>
  </r>
  <r>
    <s v="Mobilná aplikácia KSED"/>
    <x v="3"/>
    <s v="4.3 Testovanie"/>
    <m/>
    <m/>
    <m/>
    <m/>
    <m/>
    <m/>
    <m/>
    <m/>
    <m/>
    <m/>
    <m/>
    <m/>
    <m/>
    <m/>
    <m/>
    <m/>
    <m/>
    <m/>
    <m/>
    <m/>
    <m/>
    <m/>
    <n v="1"/>
    <n v="1"/>
    <m/>
    <n v="42"/>
    <n v="42"/>
    <m/>
    <n v="0.125"/>
    <n v="5.25"/>
    <n v="684"/>
    <n v="0"/>
    <n v="3591"/>
  </r>
  <r>
    <s v="Mobilná aplikácia KSED"/>
    <x v="4"/>
    <s v="4.4 Dokumentácia"/>
    <m/>
    <m/>
    <m/>
    <m/>
    <m/>
    <m/>
    <m/>
    <m/>
    <m/>
    <m/>
    <m/>
    <m/>
    <m/>
    <m/>
    <m/>
    <m/>
    <m/>
    <m/>
    <m/>
    <m/>
    <m/>
    <m/>
    <m/>
    <n v="1"/>
    <m/>
    <n v="21"/>
    <n v="21"/>
    <m/>
    <n v="0.125"/>
    <n v="2.625"/>
    <n v="684"/>
    <n v="0"/>
    <n v="1795.5"/>
  </r>
  <r>
    <s v="Mobilná aplikácia KSED"/>
    <x v="6"/>
    <s v="4.5 Nasadenie do rutinnej prevádzky"/>
    <m/>
    <m/>
    <m/>
    <m/>
    <m/>
    <m/>
    <m/>
    <m/>
    <m/>
    <m/>
    <m/>
    <m/>
    <m/>
    <m/>
    <m/>
    <m/>
    <m/>
    <m/>
    <m/>
    <m/>
    <m/>
    <m/>
    <m/>
    <n v="1"/>
    <m/>
    <n v="21"/>
    <n v="21"/>
    <m/>
    <n v="0.125"/>
    <n v="2.625"/>
    <n v="948"/>
    <n v="0"/>
    <n v="2488.5"/>
  </r>
  <r>
    <s v="Spoločné komponenty"/>
    <x v="0"/>
    <s v="5. Integračné rozhrania a spoločné funkcionality"/>
    <m/>
    <m/>
    <m/>
    <m/>
    <m/>
    <m/>
    <m/>
    <m/>
    <m/>
    <m/>
    <m/>
    <m/>
    <m/>
    <m/>
    <m/>
    <m/>
    <m/>
    <m/>
    <m/>
    <m/>
    <m/>
    <m/>
    <m/>
    <m/>
    <m/>
    <m/>
    <m/>
    <m/>
    <s v="Spolu MDs na modul"/>
    <n v="21"/>
    <m/>
    <m/>
    <m/>
  </r>
  <r>
    <s v="Spoločné komponenty"/>
    <x v="1"/>
    <s v="5.1 Analýza a návrh"/>
    <m/>
    <m/>
    <m/>
    <m/>
    <m/>
    <m/>
    <m/>
    <m/>
    <n v="1"/>
    <n v="1"/>
    <n v="1"/>
    <n v="1"/>
    <n v="1"/>
    <n v="1"/>
    <n v="1"/>
    <n v="1"/>
    <n v="1"/>
    <n v="1"/>
    <n v="1"/>
    <n v="1"/>
    <m/>
    <m/>
    <m/>
    <m/>
    <m/>
    <n v="252"/>
    <n v="252"/>
    <m/>
    <n v="0.125"/>
    <n v="31.5"/>
    <n v="888"/>
    <n v="0"/>
    <n v="27972"/>
  </r>
  <r>
    <s v="Spoločné komponenty"/>
    <x v="2"/>
    <s v="5.2 Vývoj"/>
    <m/>
    <m/>
    <m/>
    <m/>
    <m/>
    <m/>
    <m/>
    <m/>
    <m/>
    <n v="1"/>
    <n v="1"/>
    <n v="1"/>
    <n v="1"/>
    <n v="1"/>
    <n v="1"/>
    <n v="1"/>
    <n v="1"/>
    <n v="1"/>
    <n v="1"/>
    <n v="1"/>
    <n v="1"/>
    <n v="1"/>
    <n v="1"/>
    <n v="1"/>
    <n v="1"/>
    <n v="336"/>
    <n v="336"/>
    <m/>
    <n v="0.5"/>
    <n v="168"/>
    <n v="780"/>
    <n v="0"/>
    <n v="131040"/>
  </r>
  <r>
    <s v="Spoločné komponenty"/>
    <x v="3"/>
    <s v="5.3 Testovanie"/>
    <m/>
    <m/>
    <m/>
    <m/>
    <m/>
    <m/>
    <m/>
    <m/>
    <m/>
    <m/>
    <m/>
    <n v="1"/>
    <n v="1"/>
    <m/>
    <m/>
    <m/>
    <n v="1"/>
    <n v="1"/>
    <m/>
    <m/>
    <m/>
    <n v="1"/>
    <m/>
    <m/>
    <n v="1"/>
    <n v="126"/>
    <n v="126"/>
    <m/>
    <n v="0.5"/>
    <n v="63"/>
    <n v="684"/>
    <n v="0"/>
    <n v="43092"/>
  </r>
  <r>
    <s v="Spoločné komponenty"/>
    <x v="4"/>
    <s v="5.4 Dokumentácia"/>
    <m/>
    <m/>
    <m/>
    <m/>
    <m/>
    <m/>
    <m/>
    <m/>
    <m/>
    <m/>
    <m/>
    <m/>
    <n v="1"/>
    <m/>
    <m/>
    <m/>
    <m/>
    <n v="1"/>
    <m/>
    <m/>
    <m/>
    <n v="1"/>
    <m/>
    <m/>
    <n v="1"/>
    <n v="84"/>
    <n v="84"/>
    <m/>
    <n v="0.125"/>
    <n v="10.5"/>
    <n v="684"/>
    <n v="0"/>
    <n v="7182"/>
  </r>
  <r>
    <s v="Spoločné komponenty"/>
    <x v="6"/>
    <s v="5.5 Nasadenie do rutinnej prevádzky"/>
    <m/>
    <m/>
    <m/>
    <m/>
    <m/>
    <m/>
    <m/>
    <m/>
    <m/>
    <m/>
    <m/>
    <m/>
    <n v="1"/>
    <m/>
    <m/>
    <m/>
    <m/>
    <n v="1"/>
    <m/>
    <m/>
    <m/>
    <n v="1"/>
    <m/>
    <m/>
    <n v="1"/>
    <n v="84"/>
    <n v="84"/>
    <m/>
    <n v="0.125"/>
    <n v="10.5"/>
    <n v="948"/>
    <n v="0"/>
    <n v="9954"/>
  </r>
  <r>
    <s v="Spoločné komponenty"/>
    <x v="1"/>
    <s v="5.6 Analýza a návrh - návrh a audit bezpečnostnej architektúry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504"/>
    <n v="504"/>
    <m/>
    <n v="0.2"/>
    <n v="100.80000000000001"/>
    <n v="1440"/>
    <n v="0"/>
    <n v="145152.00000000003"/>
  </r>
  <r>
    <s v="Spoločné komponenty"/>
    <x v="1"/>
    <s v="5.7 Analýza a návrh - IT dohľad (quality assurance)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504"/>
    <n v="504"/>
    <m/>
    <n v="0.5"/>
    <n v="252"/>
    <n v="1068"/>
    <n v="0"/>
    <n v="269136"/>
  </r>
  <r>
    <s v="Spoločné komponenty"/>
    <x v="6"/>
    <s v="5.8 Školenia"/>
    <m/>
    <m/>
    <m/>
    <m/>
    <m/>
    <m/>
    <m/>
    <m/>
    <m/>
    <m/>
    <m/>
    <m/>
    <m/>
    <m/>
    <m/>
    <m/>
    <m/>
    <m/>
    <m/>
    <m/>
    <n v="1"/>
    <n v="1"/>
    <n v="1"/>
    <n v="1"/>
    <n v="1"/>
    <n v="105"/>
    <n v="105"/>
    <m/>
    <n v="0.5"/>
    <n v="52.5"/>
    <n v="852"/>
    <n v="0"/>
    <n v="44730"/>
  </r>
  <r>
    <s v="Spoločné komponenty"/>
    <x v="0"/>
    <s v="Podporné aktivity"/>
    <m/>
    <m/>
    <m/>
    <m/>
    <m/>
    <m/>
    <m/>
    <m/>
    <m/>
    <m/>
    <m/>
    <m/>
    <m/>
    <m/>
    <m/>
    <m/>
    <m/>
    <m/>
    <m/>
    <m/>
    <m/>
    <m/>
    <m/>
    <m/>
    <m/>
    <m/>
    <m/>
    <m/>
    <s v="Spolu MDs na modul"/>
    <n v="636.29999999999995"/>
    <m/>
    <m/>
    <m/>
  </r>
  <r>
    <s v="Spoločné komponenty"/>
    <x v="7"/>
    <s v="6.1 Projektové riadenie 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504"/>
    <n v="504"/>
    <m/>
    <n v="1"/>
    <n v="504"/>
    <n v="1068"/>
    <n v="0"/>
    <n v="53827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1">
  <r>
    <m/>
    <x v="0"/>
    <s v="Výber z jednotlivých aktivít plánovaných pre projekt. Výber možný výlučne z preddefinovaných možností"/>
    <x v="0"/>
    <x v="0"/>
    <s v="Uvádza sa konkrétny názov výdavku."/>
    <m/>
    <x v="0"/>
    <s v="Uvádzajú sa názvy alebo skratky reálnych a merateľných merných jednotiek. Nie je povolené používať mernú jednotku projekt."/>
    <s v="Uvádza sa cena za mernú jednotku bez DPH stanovená s presnosťou na max. 4 desatinné miesta."/>
    <s v="Uvádza sa počet jednotiek týkajúci sa daného výdavku v celých číslach bez desatinných miest."/>
    <s v="Uvádza sa vzorec súčtu Spolu  bez DPH a DPH 20%. Suma Spolu s DPH tak zahŕňa oprávnené aj neoprávnené výdavky."/>
    <m/>
    <s v="Výdavky, ktoré spĺňajú podmienky oprávnenosti v zmysle príslušného vyzvania, t.j. tie, ktoré bezprostredne súvisia s realizáciou projektu."/>
    <s v="Výdavky, ktoré nie sú v súlade s podmienkami oprávnenosti výdavkov podľa Príručky oprávnenosti výdavkov prioritnej osi 7 Informačná spoločnosť OPII (príloha PpŽ - Národné projekty) a teda na ich úhradu nemôže byť poskytnutý NFP."/>
    <s v="Intenzita pomoci je vyjadrená ako podiel NFP k celkovým oprávneným výdavkom projektu, vyjadruje sa v % a jej maximálna výška je určená vo vyzvaní. Uvádza sa v zaokrúhlení na 3 desatinné miesta."/>
    <s v="Výška NFP je daná súčinom intenzity pomoci a výšky oprávnených výdavkov. Hodnoty sa zaokrúhľujú na dve desatinné miesta. Maximálna výška NFP je určená vo vyzvaní."/>
    <m/>
    <s v="Uvádza sa číslo VO podľa Vestníka VO /Číslo dodávateľskej zmluvy/, mzdy, iné"/>
    <m/>
    <s v="Potrebné je uviesť detailné zdôvodnenie výdavku, počtu jednotiek a ceny. "/>
    <m/>
    <m/>
    <m/>
    <m/>
  </r>
  <r>
    <s v="Analýza a dizajn"/>
    <x v="1"/>
    <m/>
    <x v="0"/>
    <x v="1"/>
    <m/>
    <m/>
    <x v="0"/>
    <m/>
    <m/>
    <m/>
    <m/>
    <m/>
    <m/>
    <m/>
    <m/>
    <m/>
    <m/>
    <m/>
    <m/>
    <m/>
    <m/>
    <m/>
    <m/>
    <m/>
  </r>
  <r>
    <n v="1"/>
    <x v="2"/>
    <s v="Analýza a dizajn riešenia – integrácia na iný ISVS "/>
    <x v="1"/>
    <x v="2"/>
    <s v="IT analytik (Modul Integrované povoľovanie)"/>
    <s v="Modul Integrované povoľovanie"/>
    <x v="1"/>
    <s v="MD"/>
    <n v="550"/>
    <n v="80"/>
    <m/>
    <n v="52800"/>
    <n v="52800"/>
    <n v="0"/>
    <n v="1"/>
    <n v="52800"/>
    <n v="52800"/>
    <s v="VO19331154/Zmluva č. 105/2021"/>
    <s v="Dodávateľ"/>
    <s v="Zmena hodnoty NFP podľa nacenenia od víťazného dodávateľa. Vykonáva činnosti v súlade s popisom projektovej role vo Vyhláške č. 85/2020 Z. z. _x000a_zodpovedá za zber a analyzovanie funkčných požiadaviek, analyzovanie a spracovanie dokumentácie z pohľadu procesov, metodiky, technických možností a inej dokumentácie. Podieľa sa na návrhu riešenia vrátane návrhu zmien procesov v oblasti biznis analýzy a analýzy softvérových riešení. Zodpovedá za výkon analýzy IS, koordináciu a dohľad nad činnosťou SW analytikov. _x000a_Analyzuje požiadavky na informačný systém/softvérový systém, formálnym spôsobom zaznamenáva činnosti/procesy, vytvára analytický model systému, okrem analýzy realizuje aj návrh systému, ten vyjadruje návrhovým modelom.  "/>
    <s v="Aktualizované hodnoty z VO a žiadosti o zmenu č.4"/>
    <n v="52800"/>
    <m/>
    <m/>
  </r>
  <r>
    <n v="2"/>
    <x v="2"/>
    <s v="Analýza a dizajn riešenia – integrácia na iný ISVS "/>
    <x v="1"/>
    <x v="2"/>
    <s v="IT analytik (Modul Kontrolná činnosť)"/>
    <s v="Modul Kontrolná činnosť"/>
    <x v="1"/>
    <s v="MD"/>
    <n v="550"/>
    <n v="264"/>
    <m/>
    <n v="174240"/>
    <n v="174240"/>
    <n v="0"/>
    <n v="1"/>
    <n v="174240"/>
    <n v="174240"/>
    <s v="VO19331154/Zmluva č. 105/2021"/>
    <s v="Dodávateľ"/>
    <s v="Zmena hodnoty NFP podľa nacenenia od víťazného dodávateľa. Vykonáva činnosti v súlade s popisom projektovej role vo Vyhláške č. 85/2020 Z. z. _x000a_zodpovedá za zber a analyzovanie funkčných požiadaviek, analyzovanie a spracovanie dokumentácie z pohľadu procesov, metodiky, technických možností a inej dokumentácie. Podieľa sa na návrhu riešenia vrátane návrhu zmien procesov v oblasti biznis analýzy a analýzy softvérových riešení. Zodpovedá za výkon analýzy IS, koordináciu a dohľad nad činnosťou SW analytikov. _x000a_Analyzuje požiadavky na informačný systém/softvérový systém, formálnym spôsobom zaznamenáva činnosti/procesy, vytvára analytický model systému, okrem analýzy realizuje aj návrh systému, ten vyjadruje návrhovým modelom."/>
    <s v="Aktualizované hodnoty z VO a žiadosti o zmenu č.4"/>
    <n v="174240"/>
    <m/>
    <m/>
  </r>
  <r>
    <n v="3"/>
    <x v="2"/>
    <s v="Analýza a dizajn riešenia okrem integrácie"/>
    <x v="1"/>
    <x v="2"/>
    <s v="IT analytik (Modul Riadenie interných procesných služieb)"/>
    <s v="Modul Riadenie interných procesných služieb"/>
    <x v="1"/>
    <s v="MD"/>
    <n v="550"/>
    <n v="72"/>
    <m/>
    <n v="47520"/>
    <n v="47520"/>
    <n v="0"/>
    <n v="1"/>
    <n v="47520"/>
    <n v="47520"/>
    <s v="VO19331154/Zmluva č. 105/2021"/>
    <s v="Dodávateľ"/>
    <s v="Zmena hodnoty NFP podľa nacenenia od víťazného dodávateľa. Vykonáva činnosti v súlade s popisom projektovej role vo Vyhláške č. 85/2020 Z. z. _x000a_zodpovedá za zber a analyzovanie funkčných požiadaviek, analyzovanie a spracovanie dokumentácie z pohľadu procesov, metodiky, technických možností a inej dokumentácie. Podieľa sa na návrhu riešenia vrátane návrhu zmien procesov v oblasti biznis analýzy a analýzy softvérových riešení. Zodpovedá za výkon analýzy IS, koordináciu a dohľad nad činnosťou SW analytikov. _x000a_Analyzuje požiadavky na informačný systém/softvérový systém, formálnym spôsobom zaznamenáva činnosti/procesy, vytvára analytický model systému, okrem analýzy realizuje aj návrh systému, ten vyjadruje návrhovým modelom."/>
    <s v="Aktualizované hodnoty z VO a žiadosti o zmenu č.4"/>
    <n v="47520"/>
    <m/>
    <m/>
  </r>
  <r>
    <n v="4"/>
    <x v="2"/>
    <s v="Analýza a dizajn riešenia –  integrácia na Modul procesnej integrácie a integrácie údajov"/>
    <x v="1"/>
    <x v="2"/>
    <s v="IT analytik (Modul Plánovanie kontrolných činností)"/>
    <s v="Modul Plánovanie kontrolných činností"/>
    <x v="1"/>
    <s v="MD"/>
    <n v="550"/>
    <n v="32"/>
    <m/>
    <n v="21120"/>
    <n v="21120"/>
    <n v="0"/>
    <n v="1"/>
    <n v="21120"/>
    <n v="21120"/>
    <s v="VO19331154/Zmluva č. 105/2021"/>
    <s v="Dodávateľ"/>
    <s v="Zmena hodnoty NFP podľa nacenenia od víťazného dodávateľa. Vykonáva činnosti v súlade s popisom projektovej role vo Vyhláške č. 85/2020 Z. z. _x000a_zodpovedá za zber a analyzovanie funkčných požiadaviek, analyzovanie a spracovanie dokumentácie z pohľadu procesov, metodiky, technických možností a inej dokumentácie. Podieľa sa na návrhu riešenia vrátane návrhu zmien procesov v oblasti biznis analýzy a analýzy softvérových riešení. Zodpovedá za výkon analýzy IS, koordináciu a dohľad nad činnosťou SW analytikov. _x000a_Analyzuje požiadavky na informačný systém/softvérový systém, formálnym spôsobom zaznamenáva činnosti/procesy, vytvára analytický model systému, okrem analýzy realizuje aj návrh systému, ten vyjadruje návrhovým modelom. "/>
    <s v="Aktualizované hodnoty z VO a žiadosti o zmenu č.4"/>
    <n v="21120"/>
    <m/>
    <m/>
  </r>
  <r>
    <n v="5"/>
    <x v="2"/>
    <s v="Analýza a dizajn riešenia – integrácia na iný ISVS "/>
    <x v="1"/>
    <x v="2"/>
    <s v="IT analytik (Modul Správne konanie)"/>
    <s v="Modul Správne konanie"/>
    <x v="1"/>
    <s v="MD"/>
    <n v="550"/>
    <n v="48"/>
    <m/>
    <n v="31680"/>
    <n v="31680"/>
    <n v="0"/>
    <n v="1"/>
    <n v="31680"/>
    <n v="31680"/>
    <s v="VO19331154/Zmluva č. 105/2021"/>
    <s v="Dodávateľ"/>
    <s v="Zmena hodnoty NFP podľa nacenenia od víťazného dodávateľa. Vykonáva činnosti v súlade s popisom projektovej role vo Vyhláške č. 85/2020 Z. z. _x000a_zodpovedá za zber a analyzovanie funkčných požiadaviek, analyzovanie a spracovanie dokumentácie z pohľadu procesov, metodiky, technických možností a inej dokumentácie. Podieľa sa na návrhu riešenia vrátane návrhu zmien procesov v oblasti biznis analýzy a analýzy softvérových riešení. Zodpovedá za výkon analýzy IS, koordináciu a dohľad nad činnosťou SW analytikov. _x000a_Analyzuje požiadavky na informačný systém/softvérový systém, formálnym spôsobom zaznamenáva činnosti/procesy, vytvára analytický model systému, okrem analýzy realizuje aj návrh systému, ten vyjadruje návrhovým modelom."/>
    <s v="Aktualizované hodnoty z VO a žiadosti o zmenu č.4"/>
    <n v="31680"/>
    <m/>
    <m/>
  </r>
  <r>
    <n v="6"/>
    <x v="2"/>
    <s v="Analýza a dizajn riešenia –  integrácia na Modul procesnej integrácie a integrácie údajov"/>
    <x v="1"/>
    <x v="2"/>
    <s v="IT analytik (Modul Analýzy)"/>
    <s v="Modul Analýzy"/>
    <x v="1"/>
    <s v="MD"/>
    <n v="550"/>
    <n v="72"/>
    <m/>
    <n v="47520"/>
    <n v="47520"/>
    <n v="0"/>
    <n v="1"/>
    <n v="47520"/>
    <n v="47520"/>
    <s v="VO19331154/Zmluva č. 105/2021"/>
    <s v="Dodávateľ"/>
    <s v="Zmena hodnoty NFP podľa nacenenia od víťazného dodávateľa. Vykonáva činnosti v súlade s popisom projektovej role vo Vyhláške č. 85/2020 Z. z. _x000a_zodpovedá za zber a analyzovanie funkčných požiadaviek, analyzovanie a spracovanie dokumentácie z pohľadu procesov, metodiky, technických možností a inej dokumentácie. Podieľa sa na návrhu riešenia vrátane návrhu zmien procesov v oblasti biznis analýzy a analýzy softvérových riešení. Zodpovedá za výkon analýzy IS, koordináciu a dohľad nad činnosťou SW analytikov. _x000a_Analyzuje požiadavky na informačný systém/softvérový systém, formálnym spôsobom zaznamenáva činnosti/procesy, vytvára analytický model systému, okrem analýzy realizuje aj návrh systému, ten vyjadruje návrhovým modelom."/>
    <s v="Aktualizované hodnoty z VO a žiadosti o zmenu č.4"/>
    <n v="47520"/>
    <m/>
    <m/>
  </r>
  <r>
    <n v="7"/>
    <x v="2"/>
    <s v="Analýza a dizajn riešenia –  integrácia na Modul procesnej integrácie a integrácie údajov"/>
    <x v="1"/>
    <x v="2"/>
    <s v="IT analytik (Modul Podnety)"/>
    <s v="Modul Podnety"/>
    <x v="1"/>
    <s v="MD"/>
    <n v="550"/>
    <n v="32"/>
    <m/>
    <n v="21120"/>
    <n v="21120"/>
    <n v="0"/>
    <n v="1"/>
    <n v="21120"/>
    <n v="21120"/>
    <s v="VO19331154/Zmluva č. 105/2021"/>
    <s v="Dodávateľ"/>
    <s v="Zmena hodnoty NFP podľa nacenenia od víťazného dodávateľa. Vykonáva činnosti v súlade s popisom projektovej role vo Vyhláške č. 85/2020 Z. z. _x000a_zodpovedá za zber a analyzovanie funkčných požiadaviek, analyzovanie a spracovanie dokumentácie z pohľadu procesov, metodiky, technických možností a inej dokumentácie. Podieľa sa na návrhu riešenia vrátane návrhu zmien procesov v oblasti biznis analýzy a analýzy softvérových riešení. Zodpovedá za výkon analýzy IS, koordináciu a dohľad nad činnosťou SW analytikov. _x000a_Analyzuje požiadavky na informačný systém/softvérový systém, formálnym spôsobom zaznamenáva činnosti/procesy, vytvára analytický model systému, okrem analýzy realizuje aj návrh systému, ten vyjadruje návrhovým modelom. "/>
    <s v="Aktualizované hodnoty z VO a žiadosti o zmenu č.4"/>
    <n v="21120"/>
    <m/>
    <m/>
  </r>
  <r>
    <n v="8"/>
    <x v="2"/>
    <s v="Analýza a dizajn riešenia okrem integrácie"/>
    <x v="1"/>
    <x v="2"/>
    <s v="IT analytik (Modul Vyhodnocovanie  a reporting)"/>
    <s v="Modul Vyhodnocovanie  a reporting"/>
    <x v="1"/>
    <s v="MD"/>
    <n v="550"/>
    <n v="32"/>
    <m/>
    <n v="21120"/>
    <n v="21120"/>
    <n v="0"/>
    <n v="1"/>
    <n v="21120"/>
    <n v="21120"/>
    <s v="VO19331154/Zmluva č. 105/2021"/>
    <s v="Dodávateľ"/>
    <s v="Zmena hodnoty NFP podľa nacenenia od víťazného dodávateľa. Vykonáva činnosti v súlade s popisom projektovej role vo Vyhláške č. 85/2020 Z. z. _x000a_zodpovedá za zber a analyzovanie funkčných požiadaviek, analyzovanie a spracovanie dokumentácie z pohľadu procesov, metodiky, technických možností a inej dokumentácie. Podieľa sa na návrhu riešenia vrátane návrhu zmien procesov v oblasti biznis analýzy a analýzy softvérových riešení. Zodpovedá za výkon analýzy IS, koordináciu a dohľad nad činnosťou SW analytikov. _x000a_Analyzuje požiadavky na informačný systém/softvérový systém, formálnym spôsobom zaznamenáva činnosti/procesy, vytvára analytický model systému, okrem analýzy realizuje aj návrh systému, ten vyjadruje návrhovým modelom. "/>
    <s v="Aktualizované hodnoty z VO a žiadosti o zmenu č.4"/>
    <n v="21120"/>
    <m/>
    <m/>
  </r>
  <r>
    <n v="9"/>
    <x v="2"/>
    <s v="Analýza a dizajn riešenia okrem integrácie"/>
    <x v="1"/>
    <x v="2"/>
    <s v="IT analytik (Mobilný Agendový informačný systém KSED)"/>
    <s v="Mobilný Agendový informačný systém KSED"/>
    <x v="2"/>
    <s v="MD"/>
    <n v="550"/>
    <n v="16"/>
    <m/>
    <n v="10560"/>
    <n v="10560"/>
    <n v="0"/>
    <n v="1"/>
    <n v="10560"/>
    <n v="10560"/>
    <s v="VO19331154/Zmluva č. 105/2021"/>
    <s v="Dodávateľ"/>
    <s v="Zmena hodnoty NFP podľa nacenenia od víťazného dodávateľa. Vykonáva činnosti v súlade s popisom projektovej role vo Vyhláške č. 85/2020 Z. z. _x000a_zodpovedá za zber a analyzovanie funkčných požiadaviek, analyzovanie a spracovanie dokumentácie z pohľadu procesov, metodiky, technických možností a inej dokumentácie. Podieľa sa na návrhu riešenia vrátane návrhu zmien procesov v oblasti biznis analýzy a analýzy softvérových riešení. Zodpovedá za výkon analýzy IS, koordináciu a dohľad nad činnosťou SW analytikov. _x000a_Analyzuje požiadavky na informačný systém/softvérový systém, formálnym spôsobom zaznamenáva činnosti/procesy, vytvára analytický model systému, okrem analýzy realizuje aj návrh systému, ten vyjadruje návrhovým modelom. "/>
    <s v="Aktualizované hodnoty z VO a žiadosti o zmenu č.4"/>
    <n v="10560"/>
    <m/>
    <m/>
  </r>
  <r>
    <n v="10"/>
    <x v="2"/>
    <s v="Analýza a dizajn riešenia okrem integrácie"/>
    <x v="1"/>
    <x v="2"/>
    <s v="IT analytik (Verejný portál KSED)"/>
    <s v="Verejný portál KSED"/>
    <x v="3"/>
    <s v="MD"/>
    <n v="550"/>
    <n v="24"/>
    <m/>
    <n v="15840"/>
    <n v="15840"/>
    <n v="0"/>
    <n v="1"/>
    <n v="15840"/>
    <n v="15840"/>
    <s v="VO19331154/Zmluva č. 105/2021"/>
    <s v="Dodávateľ"/>
    <s v="Zmena hodnoty NFP podľa nacenenia od víťazného dodávateľa. Vykonáva činnosti v súlade s popisom projektovej role vo Vyhláške č. 85/2020 Z. z. _x000a_zodpovedá za zber a analyzovanie funkčných požiadaviek, analyzovanie a spracovanie dokumentácie z pohľadu procesov, metodiky, technických možností a inej dokumentácie. Podieľa sa na návrhu riešenia vrátane návrhu zmien procesov v oblasti biznis analýzy a analýzy softvérových riešení. Zodpovedá za výkon analýzy IS, koordináciu a dohľad nad činnosťou SW analytikov. _x000a_Analyzuje požiadavky na informačný systém/softvérový systém, formálnym spôsobom zaznamenáva činnosti/procesy, vytvára analytický model systému, okrem analýzy realizuje aj návrh systému, ten vyjadruje návrhovým modelom. "/>
    <s v="Aktualizované hodnoty z VO a žiadosti o zmenu č.4"/>
    <n v="15840"/>
    <m/>
    <m/>
  </r>
  <r>
    <n v="11"/>
    <x v="2"/>
    <s v="Analýza a dizajn riešenia okrem integrácie"/>
    <x v="1"/>
    <x v="2"/>
    <s v="IT analytik (Mobilná aplikácia Podnety)"/>
    <s v="Mobilná aplikácia Podnety"/>
    <x v="4"/>
    <s v="MD"/>
    <n v="550"/>
    <n v="6"/>
    <m/>
    <n v="3960"/>
    <n v="3960"/>
    <n v="0"/>
    <n v="1"/>
    <n v="3960"/>
    <n v="3960"/>
    <s v="VO19331154/Zmluva č. 105/2021"/>
    <s v="Dodávateľ"/>
    <s v="Zmena hodnoty NFP podľa nacenenia od víťazného dodávateľa. Vykonáva činnosti v súlade s popisom projektovej role vo Vyhláške č. 85/2020 Z. z. _x000a_zodpovedá za zber a analyzovanie funkčných požiadaviek, analyzovanie a spracovanie dokumentácie z pohľadu procesov, metodiky, technických možností a inej dokumentácie. Podieľa sa na návrhu riešenia vrátane návrhu zmien procesov v oblasti biznis analýzy a analýzy softvérových riešení. Zodpovedá za výkon analýzy IS, koordináciu a dohľad nad činnosťou SW analytikov. _x000a_Analyzuje požiadavky na informačný systém/softvérový systém, formálnym spôsobom zaznamenáva činnosti/procesy, vytvára analytický model systému, okrem analýzy realizuje aj návrh systému, ten vyjadruje návrhovým modelom."/>
    <s v="Aktualizované hodnoty z VO a žiadosti o zmenu č.4"/>
    <n v="3960"/>
    <m/>
    <m/>
  </r>
  <r>
    <n v="12"/>
    <x v="2"/>
    <s v="Analýza a dizajn riešenia – integrácia na iný ISVS "/>
    <x v="1"/>
    <x v="2"/>
    <s v="IT analytik (Integračné rozhrania a spoločné funkcionality)"/>
    <s v="Integračné rozhrania a spoločné funkcionality"/>
    <x v="1"/>
    <s v="MD"/>
    <n v="550"/>
    <n v="16"/>
    <m/>
    <n v="10560"/>
    <n v="10560"/>
    <n v="0"/>
    <n v="1"/>
    <n v="10560"/>
    <n v="10560"/>
    <s v="VO19331154/Zmluva č. 105/2021"/>
    <s v="Dodávateľ"/>
    <s v="Zmena hodnoty NFP podľa nacenenia od víťazného dodávateľa. Vykonáva činnosti v súlade s popisom projektovej role vo Vyhláške č. 85/2020 Z. z. _x000a_zodpovedá za zber a analyzovanie funkčných požiadaviek, analyzovanie a spracovanie dokumentácie z pohľadu procesov, metodiky, technických možností a inej dokumentácie. Podieľa sa na návrhu riešenia vrátane návrhu zmien procesov v oblasti biznis analýzy a analýzy softvérových riešení. Zodpovedá za výkon analýzy IS, koordináciu a dohľad nad činnosťou SW analytikov. _x000a_Analyzuje požiadavky na informačný systém/softvérový systém, formálnym spôsobom zaznamenáva činnosti/procesy, vytvára analytický model systému, okrem analýzy realizuje aj návrh systému, ten vyjadruje návrhovým modelom. "/>
    <s v="Aktualizované hodnoty z VO a žiadosti o zmenu č.4"/>
    <n v="10560"/>
    <m/>
    <m/>
  </r>
  <r>
    <n v="13"/>
    <x v="2"/>
    <s v="Analýza a dizajn riešenia okrem integrácie"/>
    <x v="1"/>
    <x v="2"/>
    <s v="Špecialista pre databázy (IS KSED)"/>
    <s v="IS KSED"/>
    <x v="1"/>
    <s v="MD"/>
    <n v="450"/>
    <n v="48"/>
    <m/>
    <n v="25920"/>
    <n v="25920"/>
    <n v="0"/>
    <n v="1"/>
    <n v="25920"/>
    <n v="25920"/>
    <s v="VO19331154/Zmluva č. 105/2021"/>
    <s v="Dodávateľ"/>
    <s v="Zmena hodnoty NFP podľa nacenenia od víťazného dodávateľa. Vykonáva činnosti v súlade s popisom projektovej role vo Vyhláške č. 85/2020 Z. z. _x000a_Špecialista pre databázy sa zameriava na technickú podporu pre databázové systémy. Zabezpečuje chod databáz alebo databázového systému. Je konzultantom pre užívateľov. Sústreďuje ich požiadavky a podnety a následne ich rieši. zodpovedá za udržiavanie databázy, spravuje používateľské účty/prístupy, zálohuje a optimalizuje chod databázy, identifikuje problémové oblasti a navrhuje riešenia na ich odstránenie. Správca databáz vykonáva, prípadne riadi odborné činnosti v oblasti správy bázy dát a dátových súborov IKT. "/>
    <s v="Aktualizované hodnoty z VO a žiadosti o zmenu č.4"/>
    <n v="25920"/>
    <m/>
    <m/>
  </r>
  <r>
    <n v="14"/>
    <x v="2"/>
    <s v="Analýza a dizajn riešenia okrem integrácie"/>
    <x v="1"/>
    <x v="2"/>
    <s v="Špecialista pre bezpečnosť IT (IS KSED)"/>
    <s v="IS KSED"/>
    <x v="1"/>
    <s v="MD"/>
    <n v="500"/>
    <n v="24"/>
    <m/>
    <n v="14400"/>
    <n v="14400"/>
    <n v="0"/>
    <n v="1"/>
    <n v="14400"/>
    <n v="14400"/>
    <s v="VO19331154/Zmluva č. 105/2021"/>
    <s v="Dodávateľ"/>
    <s v="Zmena hodnoty NFP podľa nacenenia od víťazného dodávateľa. Vykonáva činnosti v súlade s popisom projektovej role vo Vyhláške č. 85/2020 Z. z. _x000a_zodpovedá za dodržanie princípov a štandardov na kybernertickú a IT bezpečnosť, za kontrolu a audit správnosti riešenia v oblasti bezpečnosti._x000a_koordinuje a riadi činnosť v oblasti bezpečnosti prevádzky IT, spolupracuje na projektoch, na rozvoji nástrojov a postupov k optimalizácii bezpečnostných systémov a opatrení. Stanovuje základné požiadavky, podmienky a štandardy pre oblasť bezpečnosti programov, systémov, databázy či sieti. Spracováva a kontroluje príslušné interné predpisy a dohliada nad plnením týchto štandardov a predpisov. Kontroluje a riadi činnosť nad bezpečnostnými testami, bezpečnostnými incidentmi v prevádzke IT. Poskytuje inštrukcie a poradenstvo používateľom počítačov a informačných systémov pre oblasť bezpečnosti"/>
    <s v="Aktualizované hodnoty z VO a žiadosti o zmenu č.4"/>
    <n v="14400"/>
    <m/>
    <m/>
  </r>
  <r>
    <n v="15"/>
    <x v="2"/>
    <s v="Analýza a dizajn riešenia – integrácia na iný ISVS "/>
    <x v="1"/>
    <x v="2"/>
    <s v="IT architekt (Modul Integrované povoľovanie)"/>
    <s v="Modul Integrované povoľovanie"/>
    <x v="1"/>
    <s v="MD"/>
    <n v="500"/>
    <n v="24"/>
    <m/>
    <n v="14400"/>
    <n v="14400"/>
    <n v="0"/>
    <n v="1"/>
    <n v="14400"/>
    <n v="14400"/>
    <s v="VO19331154/Zmluva č. 105/2021"/>
    <s v="Dodávateľ"/>
    <s v="Zmena hodnoty NFP podľa nacenenia od víťazného dodávateľa. Vykonáva činnosti v súlade s popisom projektovej role vo Vyhláške č. 85/2020 Z. z. _x000a_zodpovedá za návrh architektúry riešenia IS a implementáciu technológií predovšetkým z pohľadu udržateľnosti, kvality a nákladov, za riešenie architektonických cieľov projektu dizajnu IS a súlad s architektonickými princípmi. _x000a_vykonáva, prípadne riadi vysoko odborné tvorivé činnosti v oblasti návrhu IT. Študuje a stanovuje smery technického rozvoja informačných technológií, navrhuje riešenia na optimalizáciu a zvýšenie efektívnosti prostriedkov výpočtovej techniky. Navrhuje základnú architektúru informačných systémov, ich komponentov a vzájomných väzieb. Zabezpečuje projektovanie dizajnu, architektúry IT štruktúry, špecifikácie jej prvkov a parametrov, vhodnej softvérovej a hardvérovej infraštruktúry podľa základnej špecifikácie riešenia. "/>
    <s v="Aktualizované hodnoty z VO a žiadosti o zmenu č.4"/>
    <n v="14400"/>
    <m/>
    <m/>
  </r>
  <r>
    <n v="16"/>
    <x v="2"/>
    <s v="Analýza a dizajn riešenia – integrácia na iný ISVS "/>
    <x v="1"/>
    <x v="2"/>
    <s v="IT architekt (Modul Kontrolná činnosť)"/>
    <s v="Modul Kontrolná činnosť"/>
    <x v="1"/>
    <s v="MD"/>
    <n v="500"/>
    <n v="72"/>
    <m/>
    <n v="43200"/>
    <n v="43200"/>
    <n v="0"/>
    <n v="1"/>
    <n v="43200"/>
    <n v="43200"/>
    <s v="VO19331154/Zmluva č. 105/2021"/>
    <s v="Dodávateľ"/>
    <s v="Zmena hodnoty NFP podľa nacenenia od víťazného dodávateľa. Vykonáva činnosti v súlade s popisom projektovej role vo Vyhláške č. 85/2020 Z. z. _x000a_zodpovedá za návrh architektúry riešenia IS a implementáciu technológií predovšetkým z pohľadu udržateľnosti, kvality a nákladov, za riešenie architektonických cieľov projektu dizajnu IS a súlad s architektonickými princípmi. _x000a_vykonáva, prípadne riadi vysoko odborné tvorivé činnosti v oblasti návrhu IT. Študuje a stanovuje smery technického rozvoja informačných technológií, navrhuje riešenia na optimalizáciu a zvýšenie efektívnosti prostriedkov výpočtovej techniky. Navrhuje základnú architektúru informačných systémov, ich komponentov a vzájomných väzieb. Zabezpečuje projektovanie dizajnu, architektúry IT štruktúry, špecifikácie jej prvkov a parametrov, vhodnej softvérovej a hardvérovej infraštruktúry podľa základnej špecifikácie riešenia. "/>
    <s v="Aktualizované hodnoty z VO a žiadosti o zmenu č.4"/>
    <n v="43200"/>
    <m/>
    <m/>
  </r>
  <r>
    <n v="17"/>
    <x v="2"/>
    <s v="Analýza a dizajn riešenia okrem integrácie"/>
    <x v="1"/>
    <x v="2"/>
    <s v="IT architekt (Modul Riadenie interných procesných služieb)"/>
    <s v="Modul Riadenie interných procesných služieb"/>
    <x v="1"/>
    <s v="MD"/>
    <n v="500"/>
    <n v="16"/>
    <m/>
    <n v="9600"/>
    <n v="9600"/>
    <n v="0"/>
    <n v="1"/>
    <n v="9600"/>
    <n v="9600"/>
    <s v="VO19331154/Zmluva č. 105/2021"/>
    <s v="Dodávateľ"/>
    <s v="Zmena hodnoty NFP podľa nacenenia od víťazného dodávateľa. Vykonáva činnosti v súlade s popisom projektovej role vo Vyhláške č. 85/2020 Z. z. _x000a_zodpovedá za návrh architektúry riešenia IS a implementáciu technológií predovšetkým z pohľadu udržateľnosti, kvality a nákladov, za riešenie architektonických cieľov projektu dizajnu IS a súlad s architektonickými princípmi. _x000a_vykonáva, prípadne riadi vysoko odborné tvorivé činnosti v oblasti návrhu IT. Študuje a stanovuje smery technického rozvoja informačných technológií, navrhuje riešenia na optimalizáciu a zvýšenie efektívnosti prostriedkov výpočtovej techniky. Navrhuje základnú architektúru informačných systémov, ich komponentov a vzájomných väzieb. Zabezpečuje projektovanie dizajnu, architektúry IT štruktúry, špecifikácie jej prvkov a parametrov, vhodnej softvérovej a hardvérovej infraštruktúry podľa základnej špecifikácie riešenia."/>
    <s v="Aktualizované hodnoty z VO a žiadosti o zmenu č.4"/>
    <n v="9600"/>
    <m/>
    <m/>
  </r>
  <r>
    <n v="18"/>
    <x v="2"/>
    <s v="Analýza a dizajn riešenia –  integrácia na Modul procesnej integrácie a integrácie údajov"/>
    <x v="1"/>
    <x v="2"/>
    <s v="IT architekt (Modul Plánovanie kontrolných činností)"/>
    <s v="Modul Plánovanie kontrolných činností"/>
    <x v="1"/>
    <s v="MD"/>
    <n v="500"/>
    <n v="8"/>
    <m/>
    <n v="4800"/>
    <n v="4800"/>
    <n v="0"/>
    <n v="1"/>
    <n v="4800"/>
    <n v="4800"/>
    <s v="VO19331154/Zmluva č. 105/2021"/>
    <s v="Dodávateľ"/>
    <s v="Zmena hodnoty NFP podľa nacenenia od víťazného dodávateľa. Vykonáva činnosti v súlade s popisom projektovej role vo Vyhláške č. 85/2020 Z. z. _x000a_zodpovedá za návrh architektúry riešenia IS a implementáciu technológií predovšetkým z pohľadu udržateľnosti, kvality a nákladov, za riešenie architektonických cieľov projektu dizajnu IS a súlad s architektonickými princípmi. _x000a_vykonáva, prípadne riadi vysoko odborné tvorivé činnosti v oblasti návrhu IT. Študuje a stanovuje smery technického rozvoja informačných technológií, navrhuje riešenia na optimalizáciu a zvýšenie efektívnosti prostriedkov výpočtovej techniky. Navrhuje základnú architektúru informačných systémov, ich komponentov a vzájomných väzieb. Zabezpečuje projektovanie dizajnu, architektúry IT štruktúry, špecifikácie jej prvkov a parametrov, vhodnej softvérovej a hardvérovej infraštruktúry podľa základnej špecifikácie riešenia. "/>
    <s v="Aktualizované hodnoty z VO a žiadosti o zmenu č.4"/>
    <n v="4800"/>
    <m/>
    <m/>
  </r>
  <r>
    <n v="19"/>
    <x v="2"/>
    <s v="Analýza a dizajn riešenia – integrácia na iný ISVS "/>
    <x v="1"/>
    <x v="2"/>
    <s v="IT architekt (Modul Správne konanie)"/>
    <s v="Modul Správne konanie"/>
    <x v="1"/>
    <s v="MD"/>
    <n v="500"/>
    <n v="8"/>
    <m/>
    <n v="4800"/>
    <n v="4800"/>
    <n v="0"/>
    <n v="1"/>
    <n v="4800"/>
    <n v="4800"/>
    <s v="VO19331154/Zmluva č. 105/2021"/>
    <s v="Dodávateľ"/>
    <s v="Zmena hodnoty NFP podľa nacenenia od víťazného dodávateľa. Vykonáva činnosti v súlade s popisom projektovej role vo Vyhláške č. 85/2020 Z. z. _x000a_zodpovedá za návrh architektúry riešenia IS a implementáciu technológií predovšetkým z pohľadu udržateľnosti, kvality a nákladov, za riešenie architektonických cieľov projektu dizajnu IS a súlad s architektonickými princípmi. _x000a_vykonáva, prípadne riadi vysoko odborné tvorivé činnosti v oblasti návrhu IT. Študuje a stanovuje smery technického rozvoja informačných technológií, navrhuje riešenia na optimalizáciu a zvýšenie efektívnosti prostriedkov výpočtovej techniky. Navrhuje základnú architektúru informačných systémov, ich komponentov a vzájomných väzieb. Zabezpečuje projektovanie dizajnu, architektúry IT štruktúry, špecifikácie jej prvkov a parametrov, vhodnej softvérovej a hardvérovej infraštruktúry podľa základnej špecifikácie riešenia. "/>
    <s v="Aktualizované hodnoty z VO a žiadosti o zmenu č.4"/>
    <n v="4800"/>
    <m/>
    <m/>
  </r>
  <r>
    <n v="20"/>
    <x v="2"/>
    <s v="Analýza a dizajn riešenia –  integrácia na Modul procesnej integrácie a integrácie údajov"/>
    <x v="1"/>
    <x v="2"/>
    <s v="IT architekt (Modul Analýzy)"/>
    <s v="Modul Analýzy"/>
    <x v="1"/>
    <s v="MD"/>
    <n v="500"/>
    <n v="16"/>
    <m/>
    <n v="9600"/>
    <n v="9600"/>
    <n v="0"/>
    <n v="1"/>
    <n v="9600"/>
    <n v="9600"/>
    <s v="VO19331154/Zmluva č. 105/2021"/>
    <s v="Dodávateľ"/>
    <s v="Zmena hodnoty NFP podľa nacenenia od víťazného dodávateľa. Vykonáva činnosti v súlade s popisom projektovej role vo Vyhláške č. 85/2020 Z. z. _x000a_zodpovedá za návrh architektúry riešenia IS a implementáciu technológií predovšetkým z pohľadu udržateľnosti, kvality a nákladov, za riešenie architektonických cieľov projektu dizajnu IS a súlad s architektonickými princípmi. _x000a_vykonáva, prípadne riadi vysoko odborné tvorivé činnosti v oblasti návrhu IT. Študuje a stanovuje smery technického rozvoja informačných technológií, navrhuje riešenia na optimalizáciu a zvýšenie efektívnosti prostriedkov výpočtovej techniky. Navrhuje základnú architektúru informačných systémov, ich komponentov a vzájomných väzieb. Zabezpečuje projektovanie dizajnu, architektúry IT štruktúry, špecifikácie jej prvkov a parametrov, vhodnej softvérovej a hardvérovej infraštruktúry podľa základnej špecifikácie riešenia."/>
    <s v="Aktualizované hodnoty z VO a žiadosti o zmenu č.4"/>
    <n v="9600"/>
    <m/>
    <m/>
  </r>
  <r>
    <n v="21"/>
    <x v="2"/>
    <s v="Analýza a dizajn riešenia –  integrácia na Modul procesnej integrácie a integrácie údajov"/>
    <x v="1"/>
    <x v="2"/>
    <s v="IT architekt (Modul Podnety)"/>
    <s v="Modul Podnety"/>
    <x v="1"/>
    <s v="MD"/>
    <n v="500"/>
    <n v="8"/>
    <m/>
    <n v="4800"/>
    <n v="4800"/>
    <n v="0"/>
    <n v="1"/>
    <n v="4800"/>
    <n v="4800"/>
    <s v="VO19331154/Zmluva č. 105/2021"/>
    <s v="Dodávateľ"/>
    <s v="Zmena hodnoty NFP podľa nacenenia od víťazného dodávateľa. Vykonáva činnosti v súlade s popisom projektovej role vo Vyhláške č. 85/2020 Z. z. _x000a_zodpovedá za návrh architektúry riešenia IS a implementáciu technológií predovšetkým z pohľadu udržateľnosti, kvality a nákladov, za riešenie architektonických cieľov projektu dizajnu IS a súlad s architektonickými princípmi. _x000a_vykonáva, prípadne riadi vysoko odborné tvorivé činnosti v oblasti návrhu IT. Študuje a stanovuje smery technického rozvoja informačných technológií, navrhuje riešenia na optimalizáciu a zvýšenie efektívnosti prostriedkov výpočtovej techniky. Navrhuje základnú architektúru informačných systémov, ich komponentov a vzájomných väzieb. Zabezpečuje projektovanie dizajnu, architektúry IT štruktúry, špecifikácie jej prvkov a parametrov, vhodnej softvérovej a hardvérovej infraštruktúry podľa základnej špecifikácie riešenia. "/>
    <s v="Aktualizované hodnoty z VO a žiadosti o zmenu č.4"/>
    <n v="4800"/>
    <m/>
    <m/>
  </r>
  <r>
    <n v="22"/>
    <x v="2"/>
    <s v="Analýza a dizajn riešenia okrem integrácie"/>
    <x v="1"/>
    <x v="2"/>
    <s v="IT architekt (Modul Vyhodnocovanie  a reporting)"/>
    <s v="Modul Vyhodnocovanie  a reporting"/>
    <x v="1"/>
    <s v="MD"/>
    <n v="500"/>
    <n v="8"/>
    <m/>
    <n v="4800"/>
    <n v="4800"/>
    <n v="0"/>
    <n v="1"/>
    <n v="4800"/>
    <n v="4800"/>
    <s v="VO19331154/Zmluva č. 105/2021"/>
    <s v="Dodávateľ"/>
    <s v="Zmena hodnoty NFP podľa nacenenia od víťazného dodávateľa. Vykonáva činnosti v súlade s popisom projektovej role vo Vyhláške č. 85/2020 Z. z. _x000a_zodpovedá za návrh architektúry riešenia IS a implementáciu technológií predovšetkým z pohľadu udržateľnosti, kvality a nákladov, za riešenie architektonických cieľov projektu dizajnu IS a súlad s architektonickými princípmi. _x000a_vykonáva, prípadne riadi vysoko odborné tvorivé činnosti v oblasti návrhu IT. Študuje a stanovuje smery technického rozvoja informačných technológií, navrhuje riešenia na optimalizáciu a zvýšenie efektívnosti prostriedkov výpočtovej techniky. Navrhuje základnú architektúru informačných systémov, ich komponentov a vzájomných väzieb. Zabezpečuje projektovanie dizajnu, architektúry IT štruktúry, špecifikácie jej prvkov a parametrov, vhodnej softvérovej a hardvérovej infraštruktúry podľa základnej špecifikácie riešenia."/>
    <s v="Aktualizované hodnoty z VO a žiadosti o zmenu č.4"/>
    <n v="4800"/>
    <m/>
    <m/>
  </r>
  <r>
    <n v="23"/>
    <x v="2"/>
    <s v="Analýza a dizajn riešenia okrem integrácie"/>
    <x v="1"/>
    <x v="2"/>
    <s v="IT architekt (Verejný portál KSED)"/>
    <s v="Verejný portál KSED"/>
    <x v="3"/>
    <s v="MD"/>
    <n v="500"/>
    <n v="7"/>
    <m/>
    <n v="4200"/>
    <n v="4200"/>
    <n v="0"/>
    <n v="1"/>
    <n v="4200"/>
    <n v="4200"/>
    <s v="VO19331154/Zmluva č. 105/2021"/>
    <s v="Dodávateľ"/>
    <s v="Zmena hodnoty NFP podľa nacenenia od víťazného dodávateľa. Vykonáva činnosti v súlade s popisom projektovej role vo Vyhláške č. 85/2020 Z. z. _x000a_zodpovedá za návrh architektúry riešenia IS a implementáciu technológií predovšetkým z pohľadu udržateľnosti, kvality a nákladov, za riešenie architektonických cieľov projektu dizajnu IS a súlad s architektonickými princípmi. _x000a_vykonáva, prípadne riadi vysoko odborné tvorivé činnosti v oblasti návrhu IT. Študuje a stanovuje smery technického rozvoja informačných technológií, navrhuje riešenia na optimalizáciu a zvýšenie efektívnosti prostriedkov výpočtovej techniky. Navrhuje základnú architektúru informačných systémov, ich komponentov a vzájomných väzieb. Zabezpečuje projektovanie dizajnu, architektúry IT štruktúry, špecifikácie jej prvkov a parametrov, vhodnej softvérovej a hardvérovej infraštruktúry podľa základnej špecifikácie riešenia."/>
    <s v="Aktualizované hodnoty z VO a žiadosti o zmenu č.4"/>
    <n v="4200"/>
    <m/>
    <m/>
  </r>
  <r>
    <n v="24"/>
    <x v="2"/>
    <s v="Analýza a dizajn riešenia – integrácia na iný ISVS "/>
    <x v="1"/>
    <x v="2"/>
    <s v="IT programátor/vývojár (Modul Integrované povoľovanie- Migrácia údajov)"/>
    <s v="Modul Integrované povoľovanie- Migrácia údajov"/>
    <x v="1"/>
    <s v="MD"/>
    <n v="450"/>
    <n v="40"/>
    <m/>
    <n v="21600"/>
    <n v="21600"/>
    <n v="0"/>
    <n v="1"/>
    <n v="21600"/>
    <n v="21600"/>
    <s v="VO19331154/Zmluva č. 105/2021"/>
    <s v="Dodávateľ"/>
    <s v="Zmena hodnoty NFP podľa nacenenia od víťazného dodávateľa. Transformuje návrh softwarovej aplikácie, na základe jej detailnej špecifikácie a vývojových diagramov, do podoby počítačového programu. Zabezpečuje alebo priamo vykonáva dokumentáciu zdrojového kódu tak, aby tento mohol byť ďalej využívaný a rozvíjaný nezávisle od autora kódu."/>
    <s v="Aktualizované hodnoty z VO a žiadosti o zmenu č.4"/>
    <n v="21600"/>
    <m/>
    <m/>
  </r>
  <r>
    <n v="25"/>
    <x v="2"/>
    <s v="Analýza a dizajn riešenia – integrácia na iný ISVS "/>
    <x v="1"/>
    <x v="2"/>
    <s v="IT programátor/vývojár (Modul Kontrolná činnosť- Migrácia údajov)"/>
    <s v="Modul Kontrolná činnosť- Migrácia údajov"/>
    <x v="1"/>
    <s v="MD"/>
    <n v="450"/>
    <n v="168"/>
    <m/>
    <n v="90720"/>
    <n v="90720"/>
    <n v="0"/>
    <n v="1"/>
    <n v="90720"/>
    <n v="90720"/>
    <s v="VO19331154/Zmluva č. 105/2021"/>
    <s v="Dodávateľ"/>
    <s v="Zmena hodnoty NFP podľa nacenenia od víťazného dodávateľa. Transformuje návrh softwarovej aplikácie, na základe jej detailnej špecifikácie a vývojových diagramov, do podoby počítačového programu. Zabezpečuje alebo priamo vykonáva dokumentáciu zdrojového kódu tak, aby tento mohol byť ďalej využívaný a rozvíjaný nezávisle od autora kódu."/>
    <s v="Aktualizované hodnoty z VO a žiadosti o zmenu č.4"/>
    <n v="90720"/>
    <m/>
    <m/>
  </r>
  <r>
    <n v="26"/>
    <x v="2"/>
    <s v="Analýza a dizajn riešenia okrem integrácie"/>
    <x v="1"/>
    <x v="2"/>
    <s v="IT programátor/vývojár (Modul Riadenie interných procesných služieb- Migrácia údajov)"/>
    <s v="Modul Riadenie interných procesných služieb- Migrácia údajov"/>
    <x v="1"/>
    <s v="MD"/>
    <n v="450"/>
    <n v="40"/>
    <m/>
    <n v="21600"/>
    <n v="21600"/>
    <n v="0"/>
    <n v="1"/>
    <n v="21600"/>
    <n v="21600"/>
    <s v="VO19331154/Zmluva č. 105/2021"/>
    <s v="Dodávateľ"/>
    <s v="Zmena hodnoty NFP podľa nacenenia od víťazného dodávateľa. Transformuje návrh softwarovej aplikácie, na základe jej detailnej špecifikácie a vývojových diagramov, do podoby počítačového programu. Zabezpečuje alebo priamo vykonáva dokumentáciu zdrojového kódu tak, aby tento mohol byť ďalej využívaný a rozvíjaný nezávisle od autora kódu. "/>
    <s v="Aktualizované hodnoty z VO a žiadosti o zmenu č.4"/>
    <n v="21600"/>
    <m/>
    <m/>
  </r>
  <r>
    <n v="27"/>
    <x v="2"/>
    <s v="Analýza a dizajn riešenia –  integrácia na Modul procesnej integrácie a integrácie údajov"/>
    <x v="1"/>
    <x v="2"/>
    <s v="IT programátor/vývojár (Modul Plánovanie kontrolných činností- Migrácia údajov)"/>
    <s v="Modul Plánovanie kontrolných činností- Migrácia údajov"/>
    <x v="1"/>
    <s v="MD"/>
    <n v="450"/>
    <n v="24"/>
    <m/>
    <n v="12960"/>
    <n v="12960"/>
    <n v="0"/>
    <n v="1"/>
    <n v="12960"/>
    <n v="12960"/>
    <s v="VO19331154/Zmluva č. 105/2021"/>
    <s v="Dodávateľ"/>
    <s v="Zmena hodnoty NFP podľa nacenenia od víťazného dodávateľa. Transformuje návrh softwarovej aplikácie, na základe jej detailnej špecifikácie a vývojových diagramov, do podoby počítačového programu. Zabezpečuje alebo priamo vykonáva dokumentáciu zdrojového kódu tak, aby tento mohol byť ďalej využívaný a rozvíjaný nezávisle od autora kódu."/>
    <s v="Aktualizované hodnoty z VO a žiadosti o zmenu č.4"/>
    <n v="12960"/>
    <m/>
    <m/>
  </r>
  <r>
    <n v="28"/>
    <x v="2"/>
    <s v="Analýza a dizajn riešenia – integrácia na iný ISVS "/>
    <x v="1"/>
    <x v="2"/>
    <s v="IT programátor/vývojár (Modul Správne konanie- Migrácia údajov)"/>
    <s v="Modul Správne konanie- Migrácia údajov"/>
    <x v="1"/>
    <s v="MD"/>
    <n v="450"/>
    <n v="32"/>
    <m/>
    <n v="17280"/>
    <n v="17280"/>
    <n v="0"/>
    <n v="1"/>
    <n v="17280"/>
    <n v="17280"/>
    <s v="VO19331154/Zmluva č. 105/2021"/>
    <s v="Dodávateľ"/>
    <s v="Zmena hodnoty NFP podľa nacenenia od víťazného dodávateľa. Transformuje návrh softwarovej aplikácie, na základe jej detailnej špecifikácie a vývojových diagramov, do podoby počítačového programu. Zabezpečuje alebo priamo vykonáva dokumentáciu zdrojového kódu tak, aby tento mohol byť ďalej využívaný a rozvíjaný nezávisle od autora kódu. "/>
    <s v="Aktualizované hodnoty z VO a žiadosti o zmenu č.4"/>
    <n v="17280"/>
    <m/>
    <m/>
  </r>
  <r>
    <n v="29"/>
    <x v="2"/>
    <s v="Analýza a dizajn riešenia –  integrácia na Modul procesnej integrácie a integrácie údajov"/>
    <x v="1"/>
    <x v="2"/>
    <s v="IT programátor/vývojár (Modul Analýzy- Migrácia údajov)"/>
    <s v="Modul Analýzy- Migrácia údajov"/>
    <x v="1"/>
    <s v="MD"/>
    <n v="450"/>
    <n v="32"/>
    <m/>
    <n v="17280"/>
    <n v="17280"/>
    <n v="0"/>
    <n v="1"/>
    <n v="17280"/>
    <n v="17280"/>
    <s v="VO19331154/Zmluva č. 105/2021"/>
    <s v="Dodávateľ"/>
    <s v="Zmena hodnoty NFP podľa nacenenia od víťazného dodávateľa. Transformuje návrh softwarovej aplikácie, na základe jej detailnej špecifikácie a vývojových diagramov, do podoby počítačového programu. Zabezpečuje alebo priamo vykonáva dokumentáciu zdrojového kódu tak, aby tento mohol byť ďalej využívaný a rozvíjaný nezávisle od autora kódu."/>
    <s v="Aktualizované hodnoty z VO a žiadosti o zmenu č.4"/>
    <n v="17280"/>
    <m/>
    <m/>
  </r>
  <r>
    <n v="30"/>
    <x v="2"/>
    <s v="Analýza a dizajn riešenia –  integrácia na Modul procesnej integrácie a integrácie údajov"/>
    <x v="1"/>
    <x v="2"/>
    <s v="IT programátor/vývojár (Modul Podnety- Migrácia údajov)"/>
    <s v="Modul Podnety- Migrácia údajov"/>
    <x v="1"/>
    <s v="MD"/>
    <n v="450"/>
    <n v="16"/>
    <m/>
    <n v="8640"/>
    <n v="8640"/>
    <n v="0"/>
    <n v="1"/>
    <n v="8640"/>
    <n v="8640"/>
    <s v="VO19331154/Zmluva č. 105/2021"/>
    <s v="Dodávateľ"/>
    <s v="Zmena hodnoty NFP podľa nacenenia od víťazného dodávateľa. Transformuje návrh softwarovej aplikácie, na základe jej detailnej špecifikácie a vývojových diagramov, do podoby počítačového programu. Zabezpečuje alebo priamo vykonáva dokumentáciu zdrojového kódu tak, aby tento mohol byť ďalej využívaný a rozvíjaný nezávisle od autora kódu. "/>
    <s v="Aktualizované hodnoty z VO a žiadosti o zmenu č.4"/>
    <n v="8640"/>
    <m/>
    <m/>
  </r>
  <r>
    <n v="31"/>
    <x v="2"/>
    <s v="Analýza a dizajn riešenia okrem integrácie"/>
    <x v="1"/>
    <x v="2"/>
    <s v="IT programátor/vývojár (Modul Vyhodnocovanie  a reporting- Migrácia údajov)"/>
    <s v="Modul Vyhodnocovanie  a reporting- Migrácia údajov"/>
    <x v="1"/>
    <s v="MD"/>
    <n v="450"/>
    <n v="24"/>
    <m/>
    <n v="12960"/>
    <n v="12960"/>
    <n v="0"/>
    <n v="1"/>
    <n v="12960"/>
    <n v="12960"/>
    <s v="VO19331154/Zmluva č. 105/2021"/>
    <s v="Dodávateľ"/>
    <s v="Zmena hodnoty NFP podľa nacenenia od víťazného dodávateľa. Transformuje návrh softwarovej aplikácie, na základe jej detailnej špecifikácie a vývojových diagramov, do podoby počítačového programu. Zabezpečuje alebo priamo vykonáva dokumentáciu zdrojového kódu tak, aby tento mohol byť ďalej využívaný a rozvíjaný nezávisle od autora kódu."/>
    <s v="Aktualizované hodnoty z VO a žiadosti o zmenu č.4"/>
    <n v="12960"/>
    <m/>
    <m/>
  </r>
  <r>
    <n v="32"/>
    <x v="2"/>
    <s v="Analýza a dizajn riešenia okrem integrácie"/>
    <x v="1"/>
    <x v="2"/>
    <s v="IT programátor/vývojár (Verejný portál KSED- Migrácia údajov)"/>
    <s v="Verejný portál KSED- Migrácia údajov"/>
    <x v="3"/>
    <s v="MD"/>
    <n v="450"/>
    <n v="8"/>
    <m/>
    <n v="4320"/>
    <n v="4320"/>
    <n v="0"/>
    <n v="1"/>
    <n v="4320"/>
    <n v="4320"/>
    <s v="VO19331154/Zmluva č. 105/2021"/>
    <s v="Dodávateľ"/>
    <s v="Zmena hodnoty NFP podľa nacenenia od víťazného dodávateľa. Transformuje návrh softwarovej aplikácie, na základe jej detailnej špecifikácie a vývojových diagramov, do podoby počítačového programu. Zabezpečuje alebo priamo vykonáva dokumentáciu zdrojového kódu tak, aby tento mohol byť ďalej využívaný a rozvíjaný nezávisle od autora kódu. "/>
    <s v="Aktualizované hodnoty z VO a žiadosti o zmenu č.4"/>
    <n v="4320"/>
    <m/>
    <m/>
  </r>
  <r>
    <n v="33"/>
    <x v="2"/>
    <s v="Analýza a dizajn riešenia okrem integrácie"/>
    <x v="1"/>
    <x v="2"/>
    <s v="IT architekt (IS KSED- Migrácia údajov)"/>
    <s v="IS KSED- Migrácia údajov"/>
    <x v="1"/>
    <s v="MD"/>
    <n v="500"/>
    <n v="72"/>
    <m/>
    <n v="43200"/>
    <n v="43200"/>
    <n v="0"/>
    <n v="1"/>
    <n v="43200"/>
    <n v="43200"/>
    <s v="VO19331154/Zmluva č. 105/2021"/>
    <s v="Dodávateľ"/>
    <s v="Zmena hodnoty NFP podľa nacenenia od víťazného dodávateľa. Vykonáva činnosti v súlade s popisom projektovej role vo Vyhláške č. 85/2020 Z. z. _x000a_zodpovedá za návrh architektúry riešenia IS a implementáciu technológií predovšetkým z pohľadu udržateľnosti, kvality a nákladov, za riešenie architektonických cieľov projektu dizajnu IS a súlad s architektonickými princípmi. _x000a_vykonáva, prípadne riadi vysoko odborné tvorivé činnosti v oblasti návrhu IT. Študuje a stanovuje smery technického rozvoja informačných technológií, navrhuje riešenia na optimalizáciu a zvýšenie efektívnosti prostriedkov výpočtovej techniky. Navrhuje základnú architektúru informačných systémov, ich komponentov a vzájomných väzieb. Zabezpečuje projektovanie dizajnu, architektúry IT štruktúry, špecifikácie jej prvkov a parametrov, vhodnej softvérovej a hardvérovej infraštruktúry podľa základnej špecifikácie riešenia."/>
    <s v="Aktualizované hodnoty z VO a žiadosti o zmenu č.4"/>
    <n v="43200"/>
    <m/>
    <m/>
  </r>
  <r>
    <n v="34"/>
    <x v="2"/>
    <s v="Analýza a dizajn riešenia okrem integrácie"/>
    <x v="1"/>
    <x v="2"/>
    <s v="Špecialista pre databázy  (IS KSED- Migrácia údajov)"/>
    <s v="IS KSED- Migrácia údajov"/>
    <x v="1"/>
    <s v="MD"/>
    <n v="450"/>
    <n v="272"/>
    <m/>
    <n v="146880"/>
    <n v="146880"/>
    <n v="0"/>
    <n v="1"/>
    <n v="146880"/>
    <n v="146880"/>
    <s v="VO19331154/Zmluva č. 105/2021"/>
    <s v="Dodávateľ"/>
    <s v="Zmena hodnoty NFP podľa nacenenia od víťazného dodávateľa. Vykonáva činnosti v súlade s popisom projektovej role vo Vyhláške č. 85/2020 Z. z. _x000a_Špecialista pre databázy sa zameriava na technickú podporu pre databázové systémy. Zabezpečuje chod databáz alebo databázového systému. Je konzultantom pre užívateľov. Sústreďuje ich požiadavky a podnety a následne ich rieši. zodpovedá za udržiavanie databázy, spravuje používateľské účty/prístupy, zálohuje a optimalizuje chod databázy, identifikuje problémové oblasti a navrhuje riešenia na ich odstránenie. Správca databáz vykonáva, prípadne riadi odborné činnosti v oblasti správy bázy dát a dátových súborov IKT. "/>
    <s v="Aktualizované hodnoty z VO a žiadosti o zmenu č.4"/>
    <n v="146880"/>
    <m/>
    <m/>
  </r>
  <r>
    <n v="35"/>
    <x v="2"/>
    <s v="Analýza a dizajn riešenia okrem integrácie"/>
    <x v="1"/>
    <x v="2"/>
    <s v="IT/IS konzultant (IS KSED- Migrácia údajov)"/>
    <s v="IS KSED- Migrácia údajov"/>
    <x v="1"/>
    <s v="MD"/>
    <n v="400"/>
    <n v="56"/>
    <m/>
    <n v="26880"/>
    <n v="26880"/>
    <n v="0"/>
    <n v="1"/>
    <n v="26880"/>
    <n v="26880"/>
    <s v="VO19331154/Zmluva č. 105/2021"/>
    <s v="Dodávateľ"/>
    <s v="Zmena hodnoty NFP podľa nacenenia od víťazného dodávateľa. IT/IS konzultant sa podieľa pri tvorbe riešenia a implementácii informačných technológií, resp. informačného systému. Konzultuje, analyzuje potreby, navrhuje riešenia a rieši potreby v rámci projektu._x000a_(IT/IS konzultant spolupracuje pri implementácii konkrétneho informačného systému v rámci organizácie, ktorý integruje procesy vnútri organizácie a medzi organizáciami navzájom)"/>
    <s v="Aktualizované hodnoty z VO a žiadosti o zmenu č.4"/>
    <n v="26880"/>
    <m/>
    <m/>
  </r>
  <r>
    <n v="36"/>
    <x v="2"/>
    <s v="Analýza a dizajn riešenia – integrácia na iný ISVS "/>
    <x v="1"/>
    <x v="2"/>
    <s v="Špecialista pre bezpečnosť IT (návrh a audit bezpečnostnej architektúry)"/>
    <s v="návrh a audit bezpečnostnej architektúry"/>
    <x v="1"/>
    <s v="MD"/>
    <n v="500"/>
    <n v="56"/>
    <m/>
    <n v="33600"/>
    <n v="33600"/>
    <n v="0"/>
    <n v="1"/>
    <n v="33600"/>
    <n v="33600"/>
    <s v="VO19331154/Zmluva č. 105/2021"/>
    <s v="Dodávateľ"/>
    <s v="Zmena hodnoty NFP podľa nacenenia od víťazného dodávateľa. Vykonáva činnosti v súlade s popisom projektovej role vo Vyhláške č. 85/2020 Z. z. _x000a_zodpovedá za návrh architektúry riešenia IS a implementáciu technológií predovšetkým z pohľadu udržateľnosti, kvality a nákladov, za riešenie architektonických cieľov projektu dizajnu IS a súlad s architektonickými princípmi. _x000a_vykonáva, prípadne riadi vysoko odborné tvorivé činnosti v oblasti návrhu IT. Študuje a stanovuje smery technického rozvoja informačných technológií, navrhuje riešenia na optimalizáciu a zvýšenie efektívnosti prostriedkov výpočtovej techniky. Navrhuje základnú architektúru informačných systémov, ich komponentov a vzájomných väzieb. Zabezpečuje projektovanie dizajnu, architektúry IT štruktúry, špecifikácie jej prvkov a parametrov, vhodnej softvérovej a hardvérovej infraštruktúry podľa základnej špecifikácie riešenia. "/>
    <s v="Aktualizované hodnoty z VO a žiadosti o zmenu č.4"/>
    <n v="33600"/>
    <m/>
    <m/>
  </r>
  <r>
    <n v="37"/>
    <x v="2"/>
    <s v="Analýza a dizajn riešenia – integrácia na iný ISVS "/>
    <x v="1"/>
    <x v="2"/>
    <s v="Odborník pre IT dohľad/Quality Assurance"/>
    <m/>
    <x v="1"/>
    <s v="MD"/>
    <n v="450"/>
    <n v="136"/>
    <m/>
    <n v="73440"/>
    <n v="73440"/>
    <n v="0"/>
    <n v="1"/>
    <n v="73440"/>
    <n v="73440"/>
    <s v="VO19331154/Zmluva č. 105/2021"/>
    <s v="Dodávateľ"/>
    <s v="Zmena hodnoty NFP podľa nacenenia od víťazného dodávateľa. Vykonáva činnosti v súlade s popisom projektovej role vo Vyhláške č. 85/2020 Z. z. _x000a_zodpovedá za priebežné vyžadovanie, hodnotenie a kontrolu kvality (vecnej aj formálnej) počas celého projektu. Je zodpovedný za úvodné nastavenie pravidiel riadenia kvality a za následné dodržiavanie a kontrolu kvality jednotlivých projektových výstupov. Sleduje a hodnotí kvalitatívne ukazovatele projektových výstupov a o zisteniach informuje projektového manažéra objednávateľa formou pravidelných alebo nepravidelných správ/záznamov. _x000a_plánuje, koordinuje, riadi a kontroluje systém manažérstva kvality, monitoruje a meria procesy a identifikuje príležitosti na trvalé zlepšovanie systému manažérstva kvality v organizácii v súlade s platnými normami. Zabezpečuje tvorbu cieľov a koncepcie kvality, vrátane kontroly ich plnenia a vykonáva interné a externé audity kvality v súlade s plánom.•Počas celej doby realizácie projektu zabezpečuje zhodu kvality projektových výstupov s požiadavkami. Realizuje postupy riadenia kvality tak, aby výsledkom boli projektové výstupy spĺňajúce požiadavky objednávateľa. Kontroluje, či sa riadenie a proces zabezpečenia kvality vykonáva správnym spôsobom, v správnom čase a správnymi osobami."/>
    <s v="Aktualizované hodnoty z VO a žiadosti o zmenu č.4"/>
    <n v="73440"/>
    <m/>
    <m/>
  </r>
  <r>
    <n v="38"/>
    <x v="2"/>
    <s v="Analýza a dizajn riešenia"/>
    <x v="1"/>
    <x v="3"/>
    <s v="IT bezpečnostný a dátový analytik objednávateľa - IT junior"/>
    <m/>
    <x v="1"/>
    <s v="hod"/>
    <n v="24.29"/>
    <n v="2080"/>
    <m/>
    <n v="50523.199999999997"/>
    <n v="50523.199999999997"/>
    <n v="0"/>
    <n v="1"/>
    <n v="50523.199999999997"/>
    <n v="49793.42"/>
    <m/>
    <s v="Hlavný partner"/>
    <s v="Kumulovaná interná rola, ktorá vykonáva činnosti v súlade s popisom projektovej role vo Vyhláške č. 85/2020 Z. z.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dátovej bezpečnosti a aktualizácii a archivácii databáz na úrovni prijímateľa  realizovaného projektu v súlade so štandardami IT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pravidelnom sledovaní platných právnych predpisov SR v oblasti bezpečnosti IT podľa zákona  o kybernetickej bezpečnosti a zákona o informačných technológiách vo verejnej správe,  usmernení a pokynov QA, MIRRI pre čerpanie fondov EÚ v rámci IKT;                            _x000a_•konaní vo vzťahu k dodávateľom, resp. partnerom na projek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spolupráci na činnostiach v rámci implementácie projektu: monitorovanie, verejné obstarávanie v oblasti IKT, a pod. Spolupracuje na pravidelnom reportovaní stavu projektu RO/SO OP I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Zodpovedá za udržiavanie databázy, spravuje používateľské účty/prístupy, zálohuje a optimalizuje chod databázy, identifikuje problémové oblasti a navrhuje riešenia na ich odstránenie.                                                                                                                                                                    _x000a_•Ako správca databáz vykonáva, prípadne riadi odborné činnosti v oblasti správy bázy dát a dátových súborov IKT._x000a_•Zabezpečuje inštaláciu, testovanie, oživovanie a nastavenie parametrov a následnú správu databázy vrátane prostriedkov a aplikácií na jej využitie. Zabezpečuje migráciu dát, generovanie výstupov, vytváranie relácií a spájanie dát, zálohovanie dát a správu používateľských účtov/prístupov._x000a_•Zabezpečuje monitoring prevádzky bázy dát, administratívne a dokumentačné práce súvisiace so správou databázy a riešenie neštandardných situácií. Poskytuje inštrukcie a poradenstvo používateľom databázových systémov._x000a_•Celý rozsah agendy rieši v súlade s legislatívou o dátových štandardoch SR – Vyhláškou 78/2020 Zz o dátových štandaroch.                                                                                                                                                                                                                                                                                _x000a_•Zodpovedá za dodržanie princípov a štandardov na kybernertickú a IT bezpečnosť, za kontrolu a audit správnosti riešenia v oblasti bezpečnosti._x000a_•Koordinuje a riadi činnosť v oblasti bezpečnosti prevádzky IT, spolupracuje na projektoch, na rozvoji nástrojov a postupov k optimalizácii bezpečnostných systémov a opatrení.                                                                                                                                                                                •Stanovuje základné požiadavky, podmienky a štandardy pre oblasť bezpečnosti programov, systémov, databázy či siet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Spracováva a kontroluje príslušné interné predpisy a dohliada nad plnením týchto štandardov a predpiso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Kontroluje a riadi činnosť nad bezpečnostnými testami, bezpečnostnými incidentmi v prevádzke IT.      _x000a_Výpočet: 13 mesiacov * ≈160 hodín za mesiac * sadzba na hodinu 24,291 € _x000a_Výpočet sadzby za 1 osobohodinu v EUR: 15,00*1,2*1,3495 = 24,291_x000a_Parametre výpočtu:_x000a_15,00 = sadzba základnej hrubej mzdy zamestnanca 15,00 EUR za hodinu (počítame s maximálnou možnou výškou 15 EUR)_x000a_1,2 = 20% odmena zo mzdy_x000a_1,3495 = 34,95% odvody za zamestnávateľa"/>
    <s v="Aktualizované hodnoty z VO a žiadosti o zmenu č.4"/>
    <n v="49793.42"/>
    <m/>
    <m/>
  </r>
  <r>
    <n v="39"/>
    <x v="2"/>
    <s v="Analýza a dizajn riešenia"/>
    <x v="1"/>
    <x v="3"/>
    <s v="vlastník procesov objednávateľa (biznis vlastník) - junior"/>
    <m/>
    <x v="1"/>
    <s v="hod"/>
    <n v="24.29"/>
    <n v="2765"/>
    <m/>
    <n v="67161.850000000006"/>
    <n v="67161.850000000006"/>
    <n v="0"/>
    <n v="1"/>
    <n v="67161.850000000006"/>
    <n v="54039.55"/>
    <m/>
    <s v="Hlavný partner"/>
    <s v="Skupina osôb v počte 12 ako vlatníci procesov._x000a_Výpočet: 8 mesiacov * ≈28,8 hodín za mesiac * sadzba na hodinu 24,291 € _x000a_Výpočet sadzby za 1 osobohodinu v EUR: 15,00*1,2*1,3495 = 24,291_x000a_Parametre výpočtu:_x000a_15,00 = sadzba základnej hrubej mzdy zamestnanca 15,00 EUR za hodinu (počítame s maximálnou možnou výškou 15 EUR)_x000a_1,2 = 20% odmena zo mzdy_x000a_1,3495 = 34,95% odvody za zamestnávateľa"/>
    <s v="Aktualizované hodnoty z VO a žiadosti o zmenu č.4"/>
    <n v="54039.55"/>
    <m/>
    <m/>
  </r>
  <r>
    <n v="40"/>
    <x v="2"/>
    <s v="Analýza a dizajn riešenia"/>
    <x v="1"/>
    <x v="3"/>
    <s v="Manažér pre integrácie"/>
    <m/>
    <x v="1"/>
    <s v="hod"/>
    <n v="40.479999999999997"/>
    <n v="234"/>
    <m/>
    <n v="9472.32"/>
    <n v="9472.32"/>
    <n v="0"/>
    <n v="1"/>
    <n v="9472.32"/>
    <n v="9174.7000000000007"/>
    <m/>
    <s v="Hlavný partner"/>
    <s v="Vykonáva činnosti v súlade s popisom projektovej role vo Vyhláške č. 85/2020 Z. z. _x000a_Zodpovedá za riadenie integrácií v realizovanom projekte. V rámci projektu zabezpečuje podporu pri riadení, kontrole a audite procesu integrácie vyvíjaného SW riešenia s ostatnými IS tak, aby integrácia bola vykonaná podľa projektovej dokumentácie a podľa príslušných štandardov. Dohliada na kvalitu riadenia a kontrolu dokumentácie integračných rozhraní ako aj na testovanie integračných rozhraní vrátane. _x000a_IT SENIOR_x000a_Výpočet: 8 mesiacov * ≈29,2 hodín za mesiac * sadzba na hodinu 40,485 € _x000a_Výpočet sadzby za 1 osobohodinu v EUR: 25,00*1,2*1,3495 = 40,485_x000a_Parametre výpočtu:_x000a_25,00 = sadzba základnej hrubej mzdy zamestnanca 25,00 EUR za hodinu (počítame s maximálnou možnou výškou 25 EUR)_x000a_1,2 = 20% odmena zo mzdy_x000a_1,3495 = 34,95% odvody za zamestnávateľa"/>
    <s v="Aktualizované hodnoty z VO a žiadosti o zmenu č.4"/>
    <n v="9174.7000000000007"/>
    <m/>
    <m/>
  </r>
  <r>
    <n v="41"/>
    <x v="2"/>
    <s v="Analýza a dizajn riešenia"/>
    <x v="1"/>
    <x v="3"/>
    <s v="Kľúčový používateľ – end user - tester"/>
    <m/>
    <x v="1"/>
    <s v="hod"/>
    <n v="24.29"/>
    <n v="5530"/>
    <m/>
    <n v="134323.70000000001"/>
    <n v="134323.70000000001"/>
    <n v="0"/>
    <n v="1"/>
    <n v="134323.70000000001"/>
    <n v="69870.350000000006"/>
    <m/>
    <s v="Hlavný partner"/>
    <s v="Skupina osôb v počte 24 ako Koneční užívatelia - testeri - kumulovaná špecifická rola: v tejto etape vystupuje ako end user._x000a_Výpočet: 8 mesiacov * ≈28,8 hodín za mesiac * sadzba na hodinu 24,291 € _x000a_Výpočet sadzby za 1 osobohodinu v EUR: 15,00*1,2*1,3495 = 24,291_x000a_Parametre výpočtu:_x000a_15,00 = sadzba základnej hrubej mzdy zamestnanca 15,00 EUR za hodinu (počítame s maximálnou možnou výškou 15 EUR)_x000a_1,2 = 20% odmena zo mzdy_x000a_1,3495 = 34,95% odvody za zamestnávateľa"/>
    <s v="Aktualizované hodnoty z VO a žiadosti o zmenu č.4"/>
    <n v="69870.350000000006"/>
    <m/>
    <m/>
  </r>
  <r>
    <n v="42"/>
    <x v="2"/>
    <s v="Analýza a dizajn riešenia"/>
    <x v="1"/>
    <x v="3"/>
    <s v="Vlastník procesov - člen Riadiaceho výboru"/>
    <m/>
    <x v="1"/>
    <s v="hod"/>
    <n v="24.29"/>
    <n v="384"/>
    <m/>
    <n v="9327.36"/>
    <n v="9327.36"/>
    <n v="0"/>
    <n v="1"/>
    <n v="9327.36"/>
    <n v="4956.6499999999996"/>
    <m/>
    <s v="Hlavný partner"/>
    <s v="Vlastník procesov - člen Riadiaceho výboru projektu._x000a_Výpočet: 8 mesiacov * ≈ 48 hodín za mesiac * sadzba na hodinu 24,291 € _x000a_Výpočet sadzby za 1 osobohodinu v EUR: 15,00*1,2*1,3495 = 24,291_x000a_Parametre výpočtu:_x000a_15,00 = sadzba základnej hrubej mzdy zamestnanca 15,00 EUR za hodinu (počítame s maximálnou možnou výškou 15 EUR)_x000a_1,2 = 20% odmena zo mzdy_x000a_1,3495 = 34,95% odvody za zamestnávateľa"/>
    <s v="Aktualizované hodnoty z VO a žiadosti o zmenu č.4"/>
    <n v="4956.6499999999996"/>
    <m/>
    <m/>
  </r>
  <r>
    <n v="43"/>
    <x v="2"/>
    <s v="Analýza a dizajn riešenia"/>
    <x v="1"/>
    <x v="3"/>
    <s v="Kľúčový používateľ – end user - člen Riadiaceho výboru"/>
    <m/>
    <x v="1"/>
    <s v="hod"/>
    <n v="24.29"/>
    <n v="384"/>
    <m/>
    <n v="9327.36"/>
    <n v="9327.36"/>
    <n v="0"/>
    <n v="1"/>
    <n v="9327.36"/>
    <n v="9319.43"/>
    <m/>
    <s v="Hlavný partner"/>
    <s v="Kľúčový používateľ – end user  - člen Riadiaceho výboru projektu._x000a_Výpočet: 8 mesiacov * ≈ 48 hodín za mesiac * sadzba na hodinu 24,291 € _x000a_Výpočet sadzby za 1 osobohodinu v EUR: 15,00*1,2*1,3495 = 24,291_x000a_Parametre výpočtu:_x000a_15,00 = sadzba základnej hrubej mzdy zamestnanca 15,00 EUR za hodinu (počítame s maximálnou možnou výškou 15 EUR)_x000a_1,2 = 20% odmena zo mzdy_x000a_1,3495 = 34,95% odvody za zamestnávateľa"/>
    <s v="Aktualizované hodnoty z VO a žiadosti o zmenu č.4"/>
    <n v="9319.43"/>
    <m/>
    <m/>
  </r>
  <r>
    <s v="Nákup HW a krabicového softvéru"/>
    <x v="1"/>
    <m/>
    <x v="0"/>
    <x v="1"/>
    <m/>
    <m/>
    <x v="0"/>
    <m/>
    <m/>
    <m/>
    <m/>
    <m/>
    <m/>
    <m/>
    <m/>
    <m/>
    <m/>
    <m/>
    <m/>
    <m/>
    <m/>
    <m/>
    <m/>
    <m/>
  </r>
  <r>
    <n v="44"/>
    <x v="2"/>
    <s v="Nákup HW a krabicového softvéru pre riešenie okrem integrácie"/>
    <x v="2"/>
    <x v="4"/>
    <s v="odolné zariadenia pre prácu v teréne"/>
    <m/>
    <x v="2"/>
    <s v="ks"/>
    <n v="3376.625"/>
    <n v="240"/>
    <m/>
    <n v="972468"/>
    <n v="972468"/>
    <n v="0"/>
    <n v="1"/>
    <n v="972468"/>
    <n v="794592"/>
    <m/>
    <s v="Dodávateľ"/>
    <s v="Počet systemizovaných inšpektorských miest na inšpektorátoch a na ústredí bude v roku 2022 v počte 240. Pre určenie predpokladanej hodnoty sa vychádza z PHZ z roku 2022. Pre túto položku bude samostatné VO ako nadlimitná zakázka (predtým ako položka č. 38). V procese verejného obstarávania bude presne špecifikovaný predmet zákazky v zmysle záverov 5. RV pre IS KSED."/>
    <s v="Aktualizované hodnoty z VO a žiadosti o zmenu č.4"/>
    <m/>
    <n v="794592"/>
    <m/>
  </r>
  <r>
    <n v="45"/>
    <x v="2"/>
    <s v="Nákup HW a krabicového softvéru pre riešenie okrem integrácie"/>
    <x v="2"/>
    <x v="4"/>
    <s v="HW pre mandátny certifikát inšpektora"/>
    <m/>
    <x v="1"/>
    <s v="ks"/>
    <n v="180"/>
    <n v="240"/>
    <m/>
    <n v="51840"/>
    <n v="51840"/>
    <n v="0"/>
    <n v="1"/>
    <n v="51840"/>
    <n v="5992.32"/>
    <m/>
    <s v="Dodávateľ"/>
    <s v="Počet systemizovaných inšpektorských miest na inšpektorátoch a na ústredí bude v roku 2022 v počte 240. Pre túto položku bude samostatné VO ako zákazka s nízkou hodnotou (predtým ako položka č. 39)."/>
    <s v="Aktualizované hodnoty z VO a žiadosti o zmenu č.4"/>
    <m/>
    <n v="5992.32"/>
    <m/>
  </r>
  <r>
    <n v="46"/>
    <x v="2"/>
    <s v="Nákup HW a krabicového softvéru pre riešenie okrem integrácie"/>
    <x v="2"/>
    <x v="2"/>
    <s v="zálohovací SW (cluster produkcia a test)_x000a_výpočet pre prípad licencie Veam:_x000a_licnecia na počet sockets hostov, a teda 2 socketový host vyžaduje 2 licencie"/>
    <m/>
    <x v="1"/>
    <s v="ks"/>
    <n v="748.15899999999999"/>
    <n v="24"/>
    <m/>
    <n v="21547"/>
    <n v="21547"/>
    <n v="0"/>
    <n v="1"/>
    <n v="21547"/>
    <n v="20008.8"/>
    <m/>
    <s v="Dodávateľ"/>
    <s v="Pre zálohovací SW je plánované samostatné VO ako zákazka s nízkou hodnotou. Nový výpočet 24 ks súvisí s novým prepočtom parametrov v nadväznosti na parametre Vládneho cloudu MV SR._x000a_Uvedené bolo prerokované aj Riadiacim výborom pre IS KSED zo dňa 12.12.2022."/>
    <s v="Aktualizované hodnoty z VO a žiadosti o zmenu č.4"/>
    <m/>
    <n v="20008.8"/>
    <m/>
  </r>
  <r>
    <n v="47"/>
    <x v="2"/>
    <s v="Nákup HW a krabicového softvéru pre riešenie okrem integrácie"/>
    <x v="2"/>
    <x v="2"/>
    <s v="licencie centrálnej Databázy (cluster produkcia a test) pre KSED_x000a_výpočet licencie pre prípad MS SQL server databázy:_x000a_(2x licencia produkcia cluster + 2x licencia test cluster) * 2 (kvôli počtu CPU a potrebe zalicencovania core)"/>
    <m/>
    <x v="1"/>
    <s v="ks"/>
    <n v="152120"/>
    <n v="1"/>
    <m/>
    <n v="182544"/>
    <n v="182544"/>
    <n v="0"/>
    <n v="1"/>
    <n v="182544"/>
    <n v="182544"/>
    <s v="VO19331154/Zmluva č. 105/2021"/>
    <s v="Dodávateľ"/>
    <s v="V rámci Štúdie uskutočniteľnosti sa predpokladala dodávka 8ks licencií databázy MS SQL pre projekt KSED. Keďže v zmysle Zákona o verejnom obstarávaní musí mať uchádzač možnosť predložiť aj ekvivalent predpokladaného softvéru (databázy MS SQL), verejný obstarávateľ nemôže vopred predpisovať konkrétny počet licencií ekvivalentnej databázy. Zároveň verejný obstarávateľ v rámci Vysvetlenia č.5 uviedol, aby uchádzači všetky SW licencie požadované v rámci Opisu predmetu zákazky sumárne nacenili v rozpočtovej položke č. 41 „Nákup HW a krabicového softvéru pre riešenie okrem integrácie“. Zmena počtu kusov v rámci tejto položky (predtým ako položka č. 41) nemá dopad pre zabezpečenie dodania diela v zmysle Zmluvy o dielo. "/>
    <s v="Aktualizované hodnoty z VO a žiadosti o zmenu č.4"/>
    <m/>
    <n v="182544"/>
    <m/>
  </r>
  <r>
    <n v="48"/>
    <x v="2"/>
    <s v="Nákup HW a krabicového softvéru pre riešenie okrem integrácie"/>
    <x v="2"/>
    <x v="2"/>
    <s v="antivírusové aplikácie (produkčné prostredie) pre databázový cluster KSED a koncové odolné zariadenia HW"/>
    <m/>
    <x v="1"/>
    <s v="ks"/>
    <n v="115.876"/>
    <n v="331"/>
    <m/>
    <n v="46026"/>
    <n v="46026"/>
    <n v="0"/>
    <n v="1"/>
    <n v="46026"/>
    <n v="31025.919999999998"/>
    <m/>
    <s v="Dodávateľ"/>
    <s v="V zmysle výpočtu parametrov zdrojov pre Vládny cloud MV SR bude Produkčné prostredie ako vysoko dostupné a škálovateľné prostredie. Bude samostané VO pre zákazku s nízkou hodnotou. Výpočet počtu ks pre antivírusové aplikácie súvisí s prepočtom parametrov na Vládny cloud MV SR a počtu kusov odolných zariadení v položke č. 44 tohto rozpočtu, ktoré budú nasadené v celom vládnom cloude - testovacie a produkčné prostredie a koncové zariadenia. Uvedené bolo prerokované aj Riadiacim výborom pre IS KSED zo dňa 12.12.2022."/>
    <s v="Aktualizované hodnoty z VO a žiadosti o zmenu č.4"/>
    <m/>
    <n v="31025.919999999998"/>
    <m/>
  </r>
  <r>
    <s v="Implementácia"/>
    <x v="1"/>
    <m/>
    <x v="0"/>
    <x v="1"/>
    <m/>
    <m/>
    <x v="0"/>
    <m/>
    <m/>
    <m/>
    <m/>
    <m/>
    <m/>
    <m/>
    <m/>
    <m/>
    <m/>
    <m/>
    <m/>
    <m/>
    <m/>
    <m/>
    <m/>
    <m/>
  </r>
  <r>
    <n v="49"/>
    <x v="2"/>
    <s v="Implementácia riešenia – integrácia na iný ISVS "/>
    <x v="3"/>
    <x v="2"/>
    <s v="IT programátor/vývojár (Modul Integrované povoľovanie)"/>
    <s v="Modul Integrované povoľovanie"/>
    <x v="1"/>
    <s v="MD"/>
    <n v="450"/>
    <n v="208"/>
    <m/>
    <n v="112320"/>
    <n v="112320"/>
    <n v="0"/>
    <n v="1"/>
    <n v="112320"/>
    <n v="112320"/>
    <s v="VO19331154/Zmluva č. 105/2021"/>
    <s v="Dodávateľ"/>
    <s v="Zmena hodnoty NFP podľa nacenenia od víťazného dodávateľa. Transformuje návrh softwarovej aplikácie, na základe jej detailnej špecifikácie a vývojových diagramov, do podoby počítačového programu. Zabezpečuje alebo priamo vykonáva dokumentáciu zdrojového kódu tak, aby tento mohol byť ďalej využívaný a rozvíjaný nezávisle od autora kódu. "/>
    <s v="Aktualizované hodnoty z VO a žiadosti o zmenu č.4"/>
    <m/>
    <n v="112320"/>
    <m/>
  </r>
  <r>
    <n v="50"/>
    <x v="2"/>
    <s v="Implementácia riešenia – integrácia na iný ISVS "/>
    <x v="3"/>
    <x v="2"/>
    <s v="IT programátor/vývojár (Modul Kontrolná činnosť)"/>
    <s v="Modul Kontrolná činnosť"/>
    <x v="1"/>
    <s v="MD"/>
    <n v="450"/>
    <n v="864"/>
    <m/>
    <n v="466560"/>
    <n v="466560"/>
    <n v="0"/>
    <n v="1"/>
    <n v="466560"/>
    <n v="466560"/>
    <s v="VO19331154/Zmluva č. 105/2021"/>
    <s v="Dodávateľ"/>
    <s v="Zmena hodnoty NFP podľa nacenenia od víťazného dodávateľa. Transformuje návrh softwarovej aplikácie, na základe jej detailnej špecifikácie a vývojových diagramov, do podoby počítačového programu. Zabezpečuje alebo priamo vykonáva dokumentáciu zdrojového kódu tak, aby tento mohol byť ďalej využívaný a rozvíjaný nezávisle od autora kódu. "/>
    <s v="Aktualizované hodnoty z VO a žiadosti o zmenu č.4"/>
    <m/>
    <n v="466560"/>
    <m/>
  </r>
  <r>
    <n v="51"/>
    <x v="2"/>
    <s v="Implementácia riešenia okrem integrácie"/>
    <x v="3"/>
    <x v="2"/>
    <s v="IT programátor/vývojár (Modul Riadenie interných procesných služieb)"/>
    <s v="Modul Riadenie interných procesných služieb"/>
    <x v="1"/>
    <s v="MD"/>
    <n v="450"/>
    <n v="224"/>
    <m/>
    <n v="120960"/>
    <n v="120960"/>
    <n v="0"/>
    <n v="1"/>
    <n v="120960"/>
    <n v="120960"/>
    <s v="VO19331154/Zmluva č. 105/2021"/>
    <s v="Dodávateľ"/>
    <s v="Zmena hodnoty NFP podľa nacenenia od víťazného dodávateľa. Transformuje návrh softwarovej aplikácie, na základe jej detailnej špecifikácie a vývojových diagramov, do podoby počítačového programu. Zabezpečuje alebo priamo vykonáva dokumentáciu zdrojového kódu tak, aby tento mohol byť ďalej využívaný a rozvíjaný nezávisle od autora kódu. "/>
    <s v="Aktualizované hodnoty z VO a žiadosti o zmenu č.4"/>
    <m/>
    <n v="120960"/>
    <m/>
  </r>
  <r>
    <n v="52"/>
    <x v="2"/>
    <s v="Implementácia riešenia –  integrácia na Modul procesnej integrácie a integrácie údajov"/>
    <x v="3"/>
    <x v="2"/>
    <s v="IT programátor/vývojár (Modul Plánovanie kontrolných činností)"/>
    <s v="Modul Plánovanie kontrolných činností"/>
    <x v="1"/>
    <s v="MD"/>
    <n v="450"/>
    <n v="104"/>
    <m/>
    <n v="56160"/>
    <n v="56160"/>
    <n v="0"/>
    <n v="1"/>
    <n v="56160"/>
    <n v="56160"/>
    <s v="VO19331154/Zmluva č. 105/2021"/>
    <s v="Dodávateľ"/>
    <s v="Zmena hodnoty NFP podľa nacenenia od víťazného dodávateľa. Transformuje návrh softwarovej aplikácie, na základe jej detailnej špecifikácie a vývojových diagramov, do podoby počítačového programu. Zabezpečuje alebo priamo vykonáva dokumentáciu zdrojového kódu tak, aby tento mohol byť ďalej využívaný a rozvíjaný nezávisle od autora kódu. "/>
    <s v="Aktualizované hodnoty z VO a žiadosti o zmenu č.4"/>
    <m/>
    <n v="56160"/>
    <m/>
  </r>
  <r>
    <n v="53"/>
    <x v="2"/>
    <s v="Implementácia riešenia – integrácia na iný ISVS "/>
    <x v="3"/>
    <x v="2"/>
    <s v="IT programátor/vývojár (Modul Správne konanie)"/>
    <s v="Modul Správne konanie"/>
    <x v="1"/>
    <s v="MD"/>
    <n v="450"/>
    <n v="168"/>
    <m/>
    <n v="90720"/>
    <n v="90720"/>
    <n v="0"/>
    <n v="1"/>
    <n v="90720"/>
    <n v="90720"/>
    <s v="VO19331154/Zmluva č. 105/2021"/>
    <s v="Dodávateľ"/>
    <s v="Zmena hodnoty NFP podľa nacenenia od víťazného dodávateľa. Transformuje návrh softwarovej aplikácie, na základe jej detailnej špecifikácie a vývojových diagramov, do podoby počítačového programu. Zabezpečuje alebo priamo vykonáva dokumentáciu zdrojového kódu tak, aby tento mohol byť ďalej využívaný a rozvíjaný nezávisle od autora kódu. "/>
    <s v="Aktualizované hodnoty z VO a žiadosti o zmenu č.4"/>
    <m/>
    <n v="90720"/>
    <m/>
  </r>
  <r>
    <n v="54"/>
    <x v="2"/>
    <s v="Implementácia riešenia –  integrácia na Modul procesnej integrácie a integrácie údajov"/>
    <x v="3"/>
    <x v="2"/>
    <s v="IT programátor/vývojár (Modul Analýzy)"/>
    <s v="Modul Analýzy"/>
    <x v="1"/>
    <s v="MD"/>
    <n v="450"/>
    <n v="240"/>
    <m/>
    <n v="129600"/>
    <n v="129600"/>
    <n v="0"/>
    <n v="1"/>
    <n v="129600"/>
    <n v="129600"/>
    <s v="VO19331154/Zmluva č. 105/2021"/>
    <s v="Dodávateľ"/>
    <s v="Zmena hodnoty NFP podľa nacenenia od víťazného dodávateľa. Transformuje návrh softwarovej aplikácie, na základe jej detailnej špecifikácie a vývojových diagramov, do podoby počítačového programu. Zabezpečuje alebo priamo vykonáva dokumentáciu zdrojového kódu tak, aby tento mohol byť ďalej využívaný a rozvíjaný nezávisle od autora kódu. "/>
    <s v="Aktualizované hodnoty z VO a žiadosti o zmenu č.4"/>
    <m/>
    <n v="129600"/>
    <m/>
  </r>
  <r>
    <n v="55"/>
    <x v="2"/>
    <s v="Implementácia riešenia –  integrácia na Modul procesnej integrácie a integrácie údajov"/>
    <x v="3"/>
    <x v="2"/>
    <s v="IT programátor/vývojár (Modul Podnety)"/>
    <s v="Modul Podnety"/>
    <x v="1"/>
    <s v="MD"/>
    <n v="450"/>
    <n v="96"/>
    <m/>
    <n v="51840"/>
    <n v="51840"/>
    <n v="0"/>
    <n v="1"/>
    <n v="51840"/>
    <n v="51840"/>
    <s v="VO19331154/Zmluva č. 105/2021"/>
    <s v="Dodávateľ"/>
    <s v="Zmena hodnoty NFP podľa nacenenia od víťazného dodávateľa. Transformuje návrh softwarovej aplikácie, na základe jej detailnej špecifikácie a vývojových diagramov, do podoby počítačového programu. Zabezpečuje alebo priamo vykonáva dokumentáciu zdrojového kódu tak, aby tento mohol byť ďalej využívaný a rozvíjaný nezávisle od autora kódu. "/>
    <s v="Aktualizované hodnoty z VO a žiadosti o zmenu č.4"/>
    <m/>
    <n v="51840"/>
    <m/>
  </r>
  <r>
    <n v="56"/>
    <x v="2"/>
    <s v="Implementácia riešenia okrem integrácie"/>
    <x v="3"/>
    <x v="2"/>
    <s v="IT programátor/vývojár (Modul Vyhodnocovanie  a reporting)"/>
    <s v="Modul Vyhodnocovanie  a reporting"/>
    <x v="1"/>
    <s v="MD"/>
    <n v="450"/>
    <n v="112"/>
    <m/>
    <n v="60480"/>
    <n v="60480"/>
    <n v="0"/>
    <n v="1"/>
    <n v="60480"/>
    <n v="60480"/>
    <s v="VO19331154/Zmluva č. 105/2021"/>
    <s v="Dodávateľ"/>
    <s v="Zmena hodnoty NFP podľa nacenenia od víťazného dodávateľa. Transformuje návrh softwarovej aplikácie, na základe jej detailnej špecifikácie a vývojových diagramov, do podoby počítačového programu. Zabezpečuje alebo priamo vykonáva dokumentáciu zdrojového kódu tak, aby tento mohol byť ďalej využívaný a rozvíjaný nezávisle od autora kódu. "/>
    <s v="Aktualizované hodnoty z VO a žiadosti o zmenu č.4"/>
    <m/>
    <n v="60480"/>
    <m/>
  </r>
  <r>
    <n v="57"/>
    <x v="2"/>
    <s v="Implementácia riešenia okrem integrácie"/>
    <x v="3"/>
    <x v="2"/>
    <s v="IT programátor/vývojár (Mobilný Agendový informačný systém KSED)"/>
    <s v="Mobilný Agendový informačný systém KSED"/>
    <x v="2"/>
    <s v="MD"/>
    <n v="450"/>
    <n v="136"/>
    <m/>
    <n v="73440"/>
    <n v="73440"/>
    <n v="0"/>
    <n v="1"/>
    <n v="73440"/>
    <n v="73440"/>
    <s v="VO19331154/Zmluva č. 105/2021"/>
    <s v="Dodávateľ"/>
    <s v="Zmena hodnoty NFP podľa nacenenia od víťazného dodávateľa. Transformuje návrh softwarovej aplikácie, na základe jej detailnej špecifikácie a vývojových diagramov, do podoby počítačového programu. Zabezpečuje alebo priamo vykonáva dokumentáciu zdrojového kódu tak, aby tento mohol byť ďalej využívaný a rozvíjaný nezávisle od autora kódu. "/>
    <s v="Aktualizované hodnoty z VO a žiadosti o zmenu č.4"/>
    <m/>
    <n v="73440"/>
    <m/>
  </r>
  <r>
    <n v="58"/>
    <x v="2"/>
    <s v="Implementácia riešenia okrem integrácie"/>
    <x v="3"/>
    <x v="2"/>
    <s v="IT programátor/vývojár (Verejný portál KSED)"/>
    <s v="Verejný portál KSED"/>
    <x v="3"/>
    <s v="MD"/>
    <n v="450"/>
    <n v="112"/>
    <m/>
    <n v="60480"/>
    <n v="60480"/>
    <n v="0"/>
    <n v="1"/>
    <n v="60480"/>
    <n v="60480"/>
    <s v="VO19331154/Zmluva č. 105/2021"/>
    <s v="Dodávateľ"/>
    <s v="Zmena hodnoty NFP podľa nacenenia od víťazného dodávateľa. Transformuje návrh softwarovej aplikácie, na základe jej detailnej špecifikácie a vývojových diagramov, do podoby počítačového programu. Zabezpečuje alebo priamo vykonáva dokumentáciu zdrojového kódu tak, aby tento mohol byť ďalej využívaný a rozvíjaný nezávisle od autora kódu. "/>
    <s v="Aktualizované hodnoty z VO a žiadosti o zmenu č.4"/>
    <m/>
    <n v="60480"/>
    <m/>
  </r>
  <r>
    <n v="59"/>
    <x v="2"/>
    <s v="Implementácia riešenia okrem integrácie"/>
    <x v="3"/>
    <x v="2"/>
    <s v="IT programátor/vývojár (Mobilná aplikácia Podnety)"/>
    <s v="Mobilná aplikácia Podnety"/>
    <x v="4"/>
    <s v="MD"/>
    <n v="450"/>
    <n v="5"/>
    <m/>
    <n v="2700"/>
    <n v="2700"/>
    <n v="0"/>
    <n v="1"/>
    <n v="2700"/>
    <n v="2700"/>
    <s v="VO19331154/Zmluva č. 105/2021"/>
    <s v="Dodávateľ"/>
    <s v="Zmena hodnoty NFP podľa nacenenia od víťazného dodávateľa. Transformuje návrh softwarovej aplikácie, na základe jej detailnej špecifikácie a vývojových diagramov, do podoby počítačového programu. Zabezpečuje alebo priamo vykonáva dokumentáciu zdrojového kódu tak, aby tento mohol byť ďalej využívaný a rozvíjaný nezávisle od autora kódu."/>
    <s v="Aktualizované hodnoty z VO a žiadosti o zmenu č.4"/>
    <m/>
    <n v="2700"/>
    <m/>
  </r>
  <r>
    <n v="60"/>
    <x v="2"/>
    <s v="Implementácia riešenia – integrácia na iný ISVS "/>
    <x v="3"/>
    <x v="2"/>
    <s v="IT programátor/vývojár (Integračné rozhrania a spoločné funkcionality)"/>
    <s v="Integračné rozhrania a spoločné funkcionality"/>
    <x v="1"/>
    <s v="MD"/>
    <n v="450"/>
    <n v="88"/>
    <m/>
    <n v="47520"/>
    <n v="47520"/>
    <n v="0"/>
    <n v="1"/>
    <n v="47520"/>
    <n v="47520"/>
    <s v="VO19331154/Zmluva č. 105/2021"/>
    <s v="Dodávateľ"/>
    <s v="Zmena hodnoty NFP podľa nacenenia od víťazného dodávateľa. Transformuje návrh softwarovej aplikácie, na základe jej detailnej špecifikácie a vývojových diagramov, do podoby počítačového programu. Zabezpečuje alebo priamo vykonáva dokumentáciu zdrojového kódu tak, aby tento mohol byť ďalej využívaný a rozvíjaný nezávisle od autora kódu."/>
    <s v="Aktualizované hodnoty z VO a žiadosti o zmenu č.4"/>
    <m/>
    <n v="47520"/>
    <m/>
  </r>
  <r>
    <n v="61"/>
    <x v="2"/>
    <s v="Implementácia riešenia okrem integrácie"/>
    <x v="3"/>
    <x v="2"/>
    <s v="IT architekt- (Dohľad IT architekta)"/>
    <s v="Dohľad IT architekta"/>
    <x v="1"/>
    <s v="MD"/>
    <n v="500"/>
    <n v="152"/>
    <m/>
    <n v="91200"/>
    <n v="91200"/>
    <n v="0"/>
    <n v="1"/>
    <n v="91200"/>
    <n v="91200"/>
    <s v="VO19331154/Zmluva č. 105/2021"/>
    <s v="Dodávateľ"/>
    <s v="Zmena hodnoty NFP podľa nacenenia od víťazného dodávateľa. Vykonáva činnosti v súlade s popisom projektovej role vo Vyhláške č. 85/2020 Z. z. _x000a_zodpovedá za návrh architektúry riešenia IS a implementáciu technológií predovšetkým z pohľadu udržateľnosti, kvality a nákladov, za riešenie architektonických cieľov projektu dizajnu IS a súlad s architektonickými princípmi. _x000a_vykonáva, prípadne riadi vysoko odborné tvorivé činnosti v oblasti návrhu IT. Študuje a stanovuje smery technického rozvoja informačných technológií, navrhuje riešenia na optimalizáciu a zvýšenie efektívnosti prostriedkov výpočtovej techniky. Navrhuje základnú architektúru informačných systémov, ich komponentov a vzájomných väzieb. Zabezpečuje projektovanie dizajnu, architektúry IT štruktúry, špecifikácie jej prvkov a parametrov, vhodnej softvérovej a hardvérovej infraštruktúry podľa základnej špecifikácie riešenia. "/>
    <s v="Aktualizované hodnoty z VO a žiadosti o zmenu č.4"/>
    <m/>
    <n v="91200"/>
    <m/>
  </r>
  <r>
    <n v="62"/>
    <x v="2"/>
    <s v="Implementácia riešenia okrem integrácie"/>
    <x v="3"/>
    <x v="2"/>
    <s v="Špecialista pre databázy"/>
    <m/>
    <x v="1"/>
    <s v="MD"/>
    <n v="450"/>
    <n v="232"/>
    <m/>
    <n v="125280"/>
    <n v="125280"/>
    <n v="0"/>
    <n v="1"/>
    <n v="125280"/>
    <n v="125280"/>
    <s v="VO19331154/Zmluva č. 105/2021"/>
    <s v="Dodávateľ"/>
    <s v="Zmena hodnoty NFP podľa nacenenia od víťazného dodávateľa. Vykonáva činnosti v súlade s popisom projektovej role vo Vyhláške č. 85/2020 Z. z. _x000a_Špecialista pre databázy sa zameriava na technickú podporu pre databázové systémy. Zabezpečuje chod databáz alebo databázového systému. Je konzultantom pre užívateľov. Sústreďuje ich požiadavky a podnety a následne ich rieši. zodpovedá za udržiavanie databázy, spravuje používateľské účty/prístupy, zálohuje a optimalizuje chod databázy, identifikuje problémové oblasti a navrhuje riešenia na ich odstránenie. Správca databáz vykonáva, prípadne riadi odborné činnosti v oblasti správy bázy dát a dátových súborov IKT. "/>
    <s v="Aktualizované hodnoty z VO a žiadosti o zmenu č.4"/>
    <m/>
    <n v="125280"/>
    <m/>
  </r>
  <r>
    <n v="63"/>
    <x v="2"/>
    <s v="Implementácia riešenia okrem integrácie"/>
    <x v="3"/>
    <x v="2"/>
    <s v="Špecialista pre bezpečnosť IT"/>
    <m/>
    <x v="1"/>
    <s v="MD"/>
    <n v="500"/>
    <n v="40"/>
    <m/>
    <n v="24000"/>
    <n v="24000"/>
    <n v="0"/>
    <n v="1"/>
    <n v="24000"/>
    <n v="24000"/>
    <s v="VO19331154/Zmluva č. 105/2021"/>
    <s v="Dodávateľ"/>
    <s v="Zmena hodnoty NFP podľa nacenenia od víťazného dodávateľa. Vykonáva činnosti v súlade s popisom projektovej role vo Vyhláške č. 85/2020 Z. z. _x000a_zodpovedá za dodržanie princípov a štandardov na kybernertickú a IT bezpečnosť, za kontrolu a audit správnosti riešenia v oblasti bezpečnosti._x000a_koordinuje a riadi činnosť v oblasti bezpečnosti prevádzky IT, spolupracuje na projektoch, na rozvoji nástrojov a postupov k optimalizácii bezpečnostných systémov a opatrení. Stanovuje základné požiadavky, podmienky a štandardy pre oblasť bezpečnosti programov, systémov, databázy či sieti. Spracováva a kontroluje príslušné interné predpisy a dohliada nad plnením týchto štandardov a predpisov. Kontroluje a riadi činnosť nad bezpečnostnými testami, bezpečnostnými incidentmi v prevádzke IT. Poskytuje inštrukcie a poradenstvo používateľom počítačov a informačných systémov pre oblasť bezpečnosti"/>
    <s v="Aktualizované hodnoty z VO a žiadosti o zmenu č.4"/>
    <m/>
    <n v="24000"/>
    <m/>
  </r>
  <r>
    <n v="64"/>
    <x v="2"/>
    <s v="Implementácia riešenia okrem integrácie"/>
    <x v="3"/>
    <x v="2"/>
    <s v="Špecialista pre infraštruktúrny/HW špecialista"/>
    <m/>
    <x v="1"/>
    <s v="MD"/>
    <n v="450"/>
    <n v="24"/>
    <m/>
    <n v="12960"/>
    <n v="12960"/>
    <n v="0"/>
    <n v="1"/>
    <n v="12960"/>
    <n v="12960"/>
    <s v="VO19331154/Zmluva č. 105/2021"/>
    <s v="Dodávateľ"/>
    <s v="Zmena hodnoty NFP podľa nacenenia od víťazného dodávateľa.Špecialista pre infraštruktúry/HW špecialista napr. sa vyjadruje k požiadavkám na IT infraštruktúru a návrhom IT infraštruktúry, zriaďuje/inštaluje, konfiguruje, diagnostikuje, opravuje, upgraduje/ rozširuje hardware a súvisiace technické zariadenia a spolupracuje pri nasadzovaní súvisiaceho SW. Zabezpečuje optimálnu prevádzku a výkon IT infraštruktúry. Rieši technické problémy a poskytuje technickú podporu v súvislosti s IT infraštruktúrou."/>
    <s v="Aktualizované hodnoty z VO a žiadosti o zmenu č.4"/>
    <m/>
    <n v="12960"/>
    <m/>
  </r>
  <r>
    <n v="65"/>
    <x v="2"/>
    <s v="Implementácia riešenia – integrácia na iný ISVS "/>
    <x v="3"/>
    <x v="2"/>
    <s v="Iné - Dokumentarista (Modul Integrované povoľovanie)"/>
    <s v="Modul Integrované povoľovanie"/>
    <x v="1"/>
    <s v="MD"/>
    <n v="400"/>
    <n v="3"/>
    <m/>
    <n v="1440"/>
    <n v="1440"/>
    <n v="0"/>
    <n v="1"/>
    <n v="1440"/>
    <n v="1440"/>
    <s v="VO19331154/Zmluva č. 105/2021"/>
    <s v="Dodávateľ"/>
    <s v="Zmena hodnoty NFP podľa nacenenia od víťazného dodávateľa. Spracováva a aktualizuje používateľskú a technickú dokumentáciu softvérových riešení a ostatnej projektovej dokumentácie."/>
    <s v="Aktualizované hodnoty z VO a žiadosti o zmenu č.4"/>
    <m/>
    <n v="1440"/>
    <m/>
  </r>
  <r>
    <n v="66"/>
    <x v="2"/>
    <s v="Implementácia riešenia – integrácia na iný ISVS "/>
    <x v="3"/>
    <x v="2"/>
    <s v="Iné - Dokumentarista (Modul Kontrolná činnosť)"/>
    <s v="Modul Kontrolná činnosť"/>
    <x v="1"/>
    <s v="MD"/>
    <n v="400"/>
    <n v="8"/>
    <m/>
    <n v="3840"/>
    <n v="3840"/>
    <n v="0"/>
    <n v="1"/>
    <n v="3840"/>
    <n v="3840"/>
    <s v="VO19331154/Zmluva č. 105/2021"/>
    <s v="Dodávateľ"/>
    <s v="Zmena hodnoty NFP podľa nacenenia od víťazného dodávateľa. Spracováva a aktualizuje používateľskú a technickú dokumentáciu softvérových riešení a ostatnej projektovej dokumentácie."/>
    <s v="Aktualizované hodnoty z VO a žiadosti o zmenu č.4"/>
    <m/>
    <n v="3840"/>
    <m/>
  </r>
  <r>
    <n v="67"/>
    <x v="2"/>
    <s v="Implementácia riešenia okrem integrácie"/>
    <x v="3"/>
    <x v="2"/>
    <s v="Iné - Dokumentarista (Modul Riadenie interných procesných služieb)"/>
    <s v="Modul Riadenie interných procesných služieb"/>
    <x v="1"/>
    <s v="MD"/>
    <n v="400"/>
    <n v="3"/>
    <m/>
    <n v="1440"/>
    <n v="1440"/>
    <n v="0"/>
    <n v="1"/>
    <n v="1440"/>
    <n v="1440"/>
    <s v="VO19331154/Zmluva č. 105/2021"/>
    <s v="Dodávateľ"/>
    <s v="Zmena hodnoty NFP podľa nacenenia od víťazného dodávateľa. Spracováva a aktualizuje používateľskú a technickú dokumentáciu softvérových riešení a ostatnej projektovej dokumentácie."/>
    <s v="Aktualizované hodnoty z VO a žiadosti o zmenu č.4"/>
    <m/>
    <n v="1440"/>
    <m/>
  </r>
  <r>
    <n v="68"/>
    <x v="2"/>
    <s v="Implementácia riešenia –  integrácia na Modul procesnej integrácie a integrácie údajov"/>
    <x v="3"/>
    <x v="2"/>
    <s v="Iné - Dokumentarista (Modul Plánovanie kontrolných činností)"/>
    <s v="Modul Plánovanie kontrolných činností"/>
    <x v="1"/>
    <s v="MD"/>
    <n v="400"/>
    <n v="1"/>
    <m/>
    <n v="480"/>
    <n v="480"/>
    <n v="0"/>
    <n v="1"/>
    <n v="480"/>
    <n v="480"/>
    <s v="VO19331154/Zmluva č. 105/2021"/>
    <s v="Dodávateľ"/>
    <s v="Zmena hodnoty NFP podľa nacenenia od víťazného dodávateľa. Spracováva a aktualizuje používateľskú a technickú dokumentáciu softvérových riešení a ostatnej projektovej dokumentácie."/>
    <s v="Aktualizované hodnoty z VO a žiadosti o zmenu č.4"/>
    <m/>
    <n v="480"/>
    <m/>
  </r>
  <r>
    <n v="69"/>
    <x v="2"/>
    <s v="Implementácia riešenia – integrácia na iný ISVS "/>
    <x v="3"/>
    <x v="2"/>
    <s v="Iné - Dokumentarista (Modul Správne konanie)"/>
    <s v="Modul Správne konanie"/>
    <x v="1"/>
    <s v="MD"/>
    <n v="400"/>
    <n v="1"/>
    <m/>
    <n v="480"/>
    <n v="480"/>
    <n v="0"/>
    <n v="1"/>
    <n v="480"/>
    <n v="480"/>
    <s v="VO19331154/Zmluva č. 105/2021"/>
    <s v="Dodávateľ"/>
    <s v="Zmena hodnoty NFP podľa nacenenia od víťazného dodávateľa. Spracováva a aktualizuje používateľskú a technickú dokumentáciu softvérových riešení a ostatnej projektovej dokumentácie."/>
    <s v="Aktualizované hodnoty z VO a žiadosti o zmenu č.4"/>
    <m/>
    <n v="480"/>
    <m/>
  </r>
  <r>
    <n v="70"/>
    <x v="2"/>
    <s v="Implementácia riešenia –  integrácia na Modul procesnej integrácie a integrácie údajov"/>
    <x v="3"/>
    <x v="2"/>
    <s v="Iné - Dokumentarista (Modul Analýzy)"/>
    <s v="Modul Analýzy"/>
    <x v="1"/>
    <s v="MD"/>
    <n v="400"/>
    <n v="2"/>
    <m/>
    <n v="960"/>
    <n v="960"/>
    <n v="0"/>
    <n v="1"/>
    <n v="960"/>
    <n v="960"/>
    <s v="VO19331154/Zmluva č. 105/2021"/>
    <s v="Dodávateľ"/>
    <s v="Zmena hodnoty NFP podľa nacenenia od víťazného dodávateľa. Spracováva a aktualizuje používateľskú a technickú dokumentáciu softvérových riešení a ostatnej projektovej dokumentácie."/>
    <s v="Aktualizované hodnoty z VO a žiadosti o zmenu č.4"/>
    <m/>
    <n v="960"/>
    <m/>
  </r>
  <r>
    <n v="71"/>
    <x v="2"/>
    <s v="Implementácia riešenia –  integrácia na Modul procesnej integrácie a integrácie údajov"/>
    <x v="3"/>
    <x v="2"/>
    <s v="Iné - Dokumentarista (Modul Podnety)"/>
    <s v="Modul Podnety"/>
    <x v="1"/>
    <s v="MD"/>
    <n v="400"/>
    <n v="1"/>
    <m/>
    <n v="480"/>
    <n v="480"/>
    <n v="0"/>
    <n v="1"/>
    <n v="480"/>
    <n v="480"/>
    <s v="VO19331154/Zmluva č. 105/2021"/>
    <s v="Dodávateľ"/>
    <s v="Zmena hodnoty NFP podľa nacenenia od víťazného dodávateľa. Spracováva a aktualizuje používateľskú a technickú dokumentáciu softvérových riešení a ostatnej projektovej dokumentácie."/>
    <s v="Aktualizované hodnoty z VO a žiadosti o zmenu č.4"/>
    <m/>
    <n v="480"/>
    <m/>
  </r>
  <r>
    <n v="72"/>
    <x v="2"/>
    <s v="Implementácia riešenia okrem integrácie"/>
    <x v="3"/>
    <x v="2"/>
    <s v="Iné - Dokumentarista (Modul Vyhodnocovanie  a reporting)"/>
    <s v="Modul Vyhodnocovanie  a reporting"/>
    <x v="1"/>
    <s v="MD"/>
    <n v="400"/>
    <n v="1"/>
    <m/>
    <n v="480"/>
    <n v="480"/>
    <n v="0"/>
    <n v="1"/>
    <n v="480"/>
    <n v="480"/>
    <s v="VO19331154/Zmluva č. 105/2021"/>
    <s v="Dodávateľ"/>
    <s v="Zmena hodnoty NFP podľa nacenenia od víťazného dodávateľa. Spracováva a aktualizuje používateľskú a technickú dokumentáciu softvérových riešení a ostatnej projektovej dokumentácie."/>
    <s v="Aktualizované hodnoty z VO a žiadosti o zmenu č.4"/>
    <m/>
    <n v="480"/>
    <m/>
  </r>
  <r>
    <n v="73"/>
    <x v="2"/>
    <s v="Implementácia riešenia okrem integrácie"/>
    <x v="3"/>
    <x v="2"/>
    <s v="Iné - Dokumentarista (Mobilný Agendový informačný systém KSED)"/>
    <s v="Mobilný Agendový informačný systém KSED"/>
    <x v="2"/>
    <s v="MD"/>
    <n v="400"/>
    <n v="8"/>
    <m/>
    <n v="3840"/>
    <n v="3840"/>
    <n v="0"/>
    <n v="1"/>
    <n v="3840"/>
    <n v="3840"/>
    <s v="VO19331154/Zmluva č. 105/2021"/>
    <s v="Dodávateľ"/>
    <s v="Zmena hodnoty NFP podľa nacenenia od víťazného dodávateľa. Spracováva a aktualizuje používateľskú a technickú dokumentáciu softvérových riešení a ostatnej projektovej dokumentácie."/>
    <s v="Aktualizované hodnoty z VO a žiadosti o zmenu č.4"/>
    <m/>
    <n v="3840"/>
    <m/>
  </r>
  <r>
    <n v="74"/>
    <x v="2"/>
    <s v="Implementácia riešenia okrem integrácie"/>
    <x v="3"/>
    <x v="2"/>
    <s v="Iné - Dokumentarista (Verejný portál KSED)"/>
    <s v="Verejný portál KSED"/>
    <x v="3"/>
    <s v="MD"/>
    <n v="400"/>
    <n v="2"/>
    <m/>
    <n v="960"/>
    <n v="960"/>
    <n v="0"/>
    <n v="1"/>
    <n v="960"/>
    <n v="960"/>
    <s v="VO19331154/Zmluva č. 105/2021"/>
    <s v="Dodávateľ"/>
    <s v="Zmena hodnoty NFP podľa nacenenia od víťazného dodávateľa. Spracováva a aktualizuje používateľskú a technickú dokumentáciu softvérových riešení a ostatnej projektovej dokumentácie."/>
    <s v="Aktualizované hodnoty z VO a žiadosti o zmenu č.4"/>
    <m/>
    <n v="960"/>
    <m/>
  </r>
  <r>
    <n v="75"/>
    <x v="2"/>
    <s v="Implementácia riešenia okrem integrácie"/>
    <x v="3"/>
    <x v="2"/>
    <s v="Iné - Dokumentarista (Mobilná aplikácia Podnety)"/>
    <s v="Mobilná aplikácia Podnety"/>
    <x v="4"/>
    <s v="MD"/>
    <n v="400"/>
    <n v="2"/>
    <m/>
    <n v="960"/>
    <n v="960"/>
    <n v="0"/>
    <n v="1"/>
    <n v="960"/>
    <n v="960"/>
    <s v="VO19331154/Zmluva č. 105/2021"/>
    <s v="Dodávateľ"/>
    <s v="Zmena hodnoty NFP podľa nacenenia od víťazného dodávateľa. Spracováva a aktualizuje používateľskú a technickú dokumentáciu softvérových riešení a ostatnej projektovej dokumentácie."/>
    <s v="Aktualizované hodnoty z VO a žiadosti o zmenu č.4"/>
    <m/>
    <n v="960"/>
    <m/>
  </r>
  <r>
    <n v="76"/>
    <x v="2"/>
    <s v="Implementácia riešenia – integrácia na iný ISVS "/>
    <x v="3"/>
    <x v="2"/>
    <s v="Iné - Dokumentarista (Integračné rozhrania a spoločné funkcionality)"/>
    <s v="Integračné rozhrania a spoločné funkcionality"/>
    <x v="1"/>
    <s v="MD"/>
    <n v="400"/>
    <n v="8"/>
    <m/>
    <n v="3840"/>
    <n v="3840"/>
    <n v="0"/>
    <n v="1"/>
    <n v="3840"/>
    <n v="3840"/>
    <s v="VO19331154/Zmluva č. 105/2021"/>
    <s v="Dodávateľ"/>
    <s v="Zmena hodnoty NFP podľa nacenenia od víťazného dodávateľa. Spracováva a aktualizuje používateľskú a technickú dokumentáciu softvérových riešení a ostatnej projektovej dokumentácie."/>
    <s v="Aktualizované hodnoty z VO a žiadosti o zmenu č.4"/>
    <m/>
    <n v="3840"/>
    <m/>
  </r>
  <r>
    <n v="77"/>
    <x v="2"/>
    <s v="Implementácia riešenia"/>
    <x v="3"/>
    <x v="3"/>
    <s v="IT bezpečnostný a dátový analytik objednávateľa - IT junior"/>
    <m/>
    <x v="1"/>
    <s v="hod"/>
    <n v="24.29"/>
    <n v="960"/>
    <m/>
    <n v="23318.400000000001"/>
    <n v="23318.400000000001"/>
    <n v="0"/>
    <n v="1"/>
    <n v="23318.400000000001"/>
    <n v="19613.43"/>
    <m/>
    <s v="Hlavný partner"/>
    <s v="Kumulovaná interná rola, ktorá vykonáva činnosti v súlade s popisom projektovej role vo Vyhláške č. 85/2020 Z. z.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dátovej bezpečnosti a aktualizácii a archivácii databáz na úrovni prijímateľa  realizovaného projektu v súlade so štandardami IT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pravidelnom sledovaní platných právnych predpisov SR v oblasti bezpečnosti IT podľa zákona  o kybernetickej bezpečnosti a zákona o informačných technológiách vo verejnej správe,  usmernení a pokynov QA, MIRRI pre čerpanie fondov EÚ v rámci IKT;                            _x000a_•konaní vo vzťahu k dodávateľom, resp. partnerom na projek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spolupráci na činnostiach v rámci implementácie projektu: monitorovanie, verejné obstarávanie v oblasti IKT, a pod. Spolupracuje na pravidelnom reportovaní stavu projektu RO/SO OP I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Zodpovedá za udržiavanie databázy, spravuje používateľské účty/prístupy, zálohuje a optimalizuje chod databázy, identifikuje problémové oblasti a navrhuje riešenia na ich odstránenie.                                                                                                                                                                    _x000a_•Ako správca databáz vykonáva, prípadne riadi odborné činnosti v oblasti správy bázy dát a dátových súborov IKT._x000a_•Zabezpečuje inštaláciu, testovanie, oživovanie a nastavenie parametrov a následnú správu databázy vrátane prostriedkov a aplikácií na jej využitie. Zabezpečuje migráciu dát, generovanie výstupov, vytváranie relácií a spájanie dát, zálohovanie dát a správu používateľských účtov/prístupov._x000a_•Zabezpečuje monitoring prevádzky bázy dát, administratívne a dokumentačné práce súvisiace so správou databázy a riešenie neštandardných situácií. Poskytuje inštrukcie a poradenstvo používateľom databázových systémov._x000a_•Celý rozsah agendy rieši v súlade s legislatívou o dátových štandardoch SR – Vyhláškou 78/2020 Zz o dátových štandaroch.                                                                                                                                                                                                                                                                                _x000a_•Zodpovedá za dodržanie princípov a štandardov na kybernertickú a IT bezpečnosť, za kontrolu a audit správnosti riešenia v oblasti bezpečnosti._x000a_•Koordinuje a riadi činnosť v oblasti bezpečnosti prevádzky IT, spolupracuje na projektoch, na rozvoji nástrojov a postupov k optimalizácii bezpečnostných systémov a opatrení.                                                                                                                                                                                •Stanovuje základné požiadavky, podmienky a štandardy pre oblasť bezpečnosti programov, systémov, databázy či siet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Spracováva a kontroluje príslušné interné predpisy a dohliada nad plnením týchto štandardov a predpiso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Kontroluje a riadi činnosť nad bezpečnostnými testami, bezpečnostnými incidentmi v prevádzke IT.      _x000a_Výpočet: 6 mesiacov * ≈160 hodín za mesiac * sadzba na hodinu 24,291 € _x000a_Výpočet sadzby za 1 osobohodinu v EUR: 15,00*1,2*1,3495 = 24,291_x000a_Parametre výpočtu:_x000a_15,00 = sadzba základnej hrubej mzdy zamestnanca 15,00 EUR za hodinu (počítame s maximálnou možnou výškou 15 EUR)_x000a_1,2 = 20% odmena zo mzdy_x000a_1,3495 = 34,95% odvody za zamestnávateľa"/>
    <s v="Aktualizované hodnoty z VO a žiadosti o zmenu č.4"/>
    <m/>
    <n v="19613.43"/>
    <m/>
  </r>
  <r>
    <n v="78"/>
    <x v="2"/>
    <s v="Implementácia riešenia"/>
    <x v="3"/>
    <x v="3"/>
    <s v="vlastník procesov objednávateľa (biznis vlastník) - junior"/>
    <m/>
    <x v="1"/>
    <s v="hod"/>
    <n v="24.29"/>
    <n v="2074"/>
    <m/>
    <n v="50377.46"/>
    <n v="50377.46"/>
    <n v="0"/>
    <n v="1"/>
    <n v="50377.46"/>
    <n v="35222.51"/>
    <m/>
    <s v="Hlavný partner"/>
    <s v="Skupina osôb v počte 12 ako vlatníci procesov._x000a_Výpočet: 6 mesiacov * ≈28,8 hodín za mesiac * sadzba na hodinu 24,291 € _x000a_Výpočet sadzby za 1 osobohodinu v EUR: 15,00*1,2*1,3495 = 24,291_x000a_Parametre výpočtu:_x000a_15,00 = sadzba základnej hrubej mzdy zamestnanca 15,00 EUR za hodinu (počítame s maximálnou možnou výškou 15 EUR)_x000a_1,2 = 20% odmena zo mzdy_x000a_1,3495 = 34,95% odvody za zamestnávateľa"/>
    <s v="Aktualizované hodnoty z VO a žiadosti o zmenu č.4"/>
    <m/>
    <n v="35222.51"/>
    <m/>
  </r>
  <r>
    <n v="79"/>
    <x v="2"/>
    <s v="Implementácia riešenia"/>
    <x v="3"/>
    <x v="3"/>
    <s v="Manažér pre integrácie"/>
    <m/>
    <x v="1"/>
    <s v="hod"/>
    <n v="40.479999999999997"/>
    <n v="175"/>
    <m/>
    <n v="7084"/>
    <n v="7084"/>
    <n v="0"/>
    <n v="1"/>
    <n v="7084"/>
    <n v="6914.71"/>
    <m/>
    <s v="Hlavný partner"/>
    <s v="Vykonáva činnosti v súlade s popisom projektovej role vo Vyhláške č. 85/2020 Z. z. _x000a_Zodpovedá za riadenie integrácií v realizovanom projekte. V rámci projektu zabezpečuje podporu pri riadení, kontrole a audite procesu integrácie vyvíjaného SW riešenia s ostatnými IS tak, aby integrácia bola vykonaná podľa projektovej dokumentácie a podľa príslušných štandardov. Dohliada na kvalitu riadenia a kontrolu dokumentácie integračných rozhraní ako aj na testovanie integračných rozhraní vrátane. _x000a_IT SENIOR_x000a_Výpočet: 6 mesiacov * ≈29,2 hodín za mesiac * sadzba na hodinu 40,485 € _x000a_Výpočet sadzby za 1 osobohodinu v EUR: 25,00*1,2*1,3495 = 40,485_x000a_Parametre výpočtu:_x000a_25,00 = sadzba základnej hrubej mzdy zamestnanca 25,00 EUR za hodinu (počítame s maximálnou možnou výškou 25 EUR)_x000a_1,2 = 20% odmena zo mzdy_x000a_1,3495 = 34,95% odvody za zamestnávateľa"/>
    <s v="Aktualizované hodnoty z VO a žiadosti o zmenu č.4"/>
    <m/>
    <n v="6914.71"/>
    <m/>
  </r>
  <r>
    <n v="80"/>
    <x v="2"/>
    <s v="Implementácia riešenia"/>
    <x v="3"/>
    <x v="3"/>
    <s v="Kľúčový používateľ – end user - tester"/>
    <m/>
    <x v="1"/>
    <s v="hod"/>
    <n v="24.29"/>
    <n v="4147"/>
    <m/>
    <n v="100730.63"/>
    <n v="100730.63"/>
    <n v="0"/>
    <n v="1"/>
    <n v="100730.63"/>
    <n v="47097.21"/>
    <m/>
    <s v="Hlavný partner"/>
    <s v="Skupina osôb v počte 24 ako Koneční užívatelia - testeri - kumulovaná špecifická rola: v tejto etape vystupuje ako end user._x000a_Výpočet: 6 mesiacov * ≈28,8 hodín za mesiac * sadzba na hodinu 24,291 € _x000a_Výpočet sadzby za 1 osobohodinu v EUR: 15,00*1,2*1,3495 = 24,291_x000a_Parametre výpočtu:_x000a_15,00 = sadzba základnej hrubej mzdy zamestnanca 15,00 EUR za hodinu (počítame s maximálnou možnou výškou 15 EUR)_x000a_1,2 = 20% odmena zo mzdy_x000a_1,3495 = 34,95% odvody za zamestnávateľa"/>
    <s v="Aktualizované hodnoty z VO a žiadosti o zmenu č.4"/>
    <m/>
    <n v="47097.21"/>
    <m/>
  </r>
  <r>
    <n v="81"/>
    <x v="2"/>
    <s v="Implementácia riešenia"/>
    <x v="3"/>
    <x v="3"/>
    <s v="Vlastník procesov - člen Riadiaceho výboru"/>
    <m/>
    <x v="1"/>
    <s v="hod"/>
    <n v="24.29"/>
    <n v="288"/>
    <m/>
    <n v="6995.52"/>
    <n v="6995.52"/>
    <n v="0"/>
    <n v="1"/>
    <n v="6995.52"/>
    <n v="3843.23"/>
    <m/>
    <s v="Hlavný partner"/>
    <s v="Vlastník procesov - člen Riadiaceho výboru projektu._x000a_Výpočet: 6 mesiacov * ≈ 48 hodín za mesiac * sadzba na hodinu 24,291 € _x000a_Výpočet sadzby za 1 osobohodinu v EUR: 15,00*1,2*1,3495 = 24,291_x000a_Parametre výpočtu:_x000a_15,00 = sadzba základnej hrubej mzdy zamestnanca 15,00 EUR za hodinu (počítame s maximálnou možnou výškou 15 EUR)_x000a_1,2 = 20% odmena zo mzdy_x000a_1,3495 = 34,95% odvody za zamestnávateľa"/>
    <s v="Aktualizované hodnoty z VO a žiadosti o zmenu č.4"/>
    <m/>
    <n v="3843.23"/>
    <m/>
  </r>
  <r>
    <n v="82"/>
    <x v="2"/>
    <s v="Implementácia riešenia"/>
    <x v="3"/>
    <x v="3"/>
    <s v="Kľúčový používateľ – end user - člen Riadiaceho výboru"/>
    <m/>
    <x v="1"/>
    <s v="hod"/>
    <n v="24.29"/>
    <n v="288"/>
    <m/>
    <n v="6995.52"/>
    <n v="6995.52"/>
    <n v="0"/>
    <n v="1"/>
    <n v="6995.52"/>
    <n v="5897.83"/>
    <m/>
    <s v="Hlavný partner"/>
    <s v=" Kľúčový používateľ – end user  - člen Riadiaceho výboru projektu._x000a_Výpočet: 6 mesiacov * ≈ 48 hodín za mesiac * sadzba na hodinu 24,291 € _x000a_Výpočet sadzby za 1 osobohodinu v EUR: 15,00*1,2*1,3495 = 24,291_x000a_Parametre výpočtu:_x000a_15,00 = sadzba základnej hrubej mzdy zamestnanca 15,00 EUR za hodinu (počítame s maximálnou možnou výškou 15 EUR)_x000a_1,2 = 20% odmena zo mzdy_x000a_1,3495 = 34,95% odvody za zamestnávateľa"/>
    <s v="Aktualizované hodnoty z VO a žiadosti o zmenu č.4"/>
    <m/>
    <n v="5897.83"/>
    <m/>
  </r>
  <r>
    <n v="83"/>
    <x v="2"/>
    <s v="Implementácia riešenia"/>
    <x v="3"/>
    <x v="3"/>
    <s v="Dátový kurátor/Vlastník dát "/>
    <m/>
    <x v="1"/>
    <s v="hod"/>
    <n v="40.479999999999997"/>
    <n v="175"/>
    <m/>
    <n v="7084"/>
    <n v="7084"/>
    <n v="0"/>
    <n v="1"/>
    <n v="7084"/>
    <n v="8803.61"/>
    <m/>
    <s v="Hlavný partner"/>
    <s v="Vykonáva činnosti v súlade s popisom projektovej role vo Vyhláške č. 85/2020 Z. z. _x000a_Zodpovedá za riadenie migrácií dát v realizovanom projekte. V rámci projektu zabezpečuje podporu pri riadení, kontrole a audite procesu migrácí vyvíjaného SW riešenia s ostatnými IS tak, abymigrácia dát bola vykonaná podľa projektovej dokumentácie a podľa príslušných štandardov. Dohliada na kvalitu riadenia a kontrolu dokumentácie migračných tokov dát  ako aj na testovanie migračných rozhraní vrátane. _x000a_IT SENIOR_x000a_Výpočet: 6 mesiacov * ≈29,2 hodín za mesiac * sadzba na hodinu 40,485 € _x000a_Výpočet sadzby za 1 osobohodinu v EUR: 25,00*1,2*1,3495 = 40,485_x000a_Parametre výpočtu:_x000a_25,00 = sadzba základnej hrubej mzdy zamestnanca 25,00 EUR za hodinu (počítame s maximálnou možnou výškou 25 EUR)_x000a_1,2 = 20% odmena zo mzdy_x000a_1,3495 = 34,95% odvody za zamestnávateľa"/>
    <s v="Aktualizované hodnoty z VO a žiadosti o zmenu č.4"/>
    <m/>
    <n v="8803.61"/>
    <m/>
  </r>
  <r>
    <s v="Testovanie"/>
    <x v="1"/>
    <m/>
    <x v="0"/>
    <x v="1"/>
    <m/>
    <m/>
    <x v="0"/>
    <m/>
    <m/>
    <m/>
    <m/>
    <m/>
    <m/>
    <m/>
    <m/>
    <m/>
    <m/>
    <m/>
    <m/>
    <m/>
    <m/>
    <m/>
    <m/>
    <m/>
  </r>
  <r>
    <n v="84"/>
    <x v="2"/>
    <s v="Testovanie riešenia – integrácia na iný ISVS "/>
    <x v="4"/>
    <x v="2"/>
    <s v="IT tester (Modul Integrované povoľovanie)"/>
    <s v="Modul Integrované povoľovanie"/>
    <x v="1"/>
    <s v="MD"/>
    <n v="400"/>
    <n v="56"/>
    <m/>
    <n v="26880"/>
    <n v="26880"/>
    <n v="0"/>
    <n v="1"/>
    <n v="26880"/>
    <n v="26880"/>
    <s v="VO19331154/Zmluva č. 105/2021"/>
    <s v="Dodávateľ"/>
    <s v="Zmena hodnoty NFP podľa nacenenia od víťazného dodávateľa. Zodpovedanie za testovanie softvérových aplikácií s dôrazom na odhaľovanie chýb z hľadiska funkčnosti, použiteľnosti a bezpečnosti využívania softvéru. Vykonávanie manuálneho a automatizovaného testovania aplikácií. Vyhodnocovanie výsledkov uskutočnených testov."/>
    <s v="Aktualizované hodnoty z VO a žiadosti o zmenu č.4"/>
    <m/>
    <n v="26880"/>
    <m/>
  </r>
  <r>
    <n v="85"/>
    <x v="2"/>
    <s v="Testovanie riešenia – integrácia na iný ISVS "/>
    <x v="4"/>
    <x v="2"/>
    <s v="IT tester (Modul Kontrolná činnosť)"/>
    <s v="Modul Kontrolná činnosť"/>
    <x v="1"/>
    <s v="MD"/>
    <n v="400"/>
    <n v="224"/>
    <m/>
    <n v="107520"/>
    <n v="107520"/>
    <n v="0"/>
    <n v="1"/>
    <n v="107520"/>
    <n v="107520"/>
    <s v="VO19331154/Zmluva č. 105/2021"/>
    <s v="Dodávateľ"/>
    <s v="Zmena hodnoty NFP podľa nacenenia od víťazného dodávateľa. Zodpovedanie za testovanie softvérových aplikácií s dôrazom na odhaľovanie chýb z hľadiska funkčnosti, použiteľnosti a bezpečnosti využívania softvéru. Vykonávanie manuálneho a automatizovaného testovania aplikácií. Vyhodnocovanie výsledkov uskutočnených testov."/>
    <s v="Aktualizované hodnoty z VO a žiadosti o zmenu č.4"/>
    <m/>
    <n v="107520"/>
    <m/>
  </r>
  <r>
    <n v="86"/>
    <x v="2"/>
    <s v="Testovanie riešenia okrem integrácie"/>
    <x v="4"/>
    <x v="2"/>
    <s v="IT tester (Modul Riadenie interných procesných služieb)"/>
    <s v="Modul Riadenie interných procesných služieb"/>
    <x v="1"/>
    <s v="MD"/>
    <n v="400"/>
    <n v="56"/>
    <m/>
    <n v="26880"/>
    <n v="26880"/>
    <n v="0"/>
    <n v="1"/>
    <n v="26880"/>
    <n v="26880"/>
    <s v="VO19331154/Zmluva č. 105/2021"/>
    <s v="Dodávateľ"/>
    <s v="Zmena hodnoty NFP podľa nacenenia od víťazného dodávateľa. Zodpovedanie za testovanie softvérových aplikácií s dôrazom na odhaľovanie chýb z hľadiska funkčnosti, použiteľnosti a bezpečnosti využívania softvéru. Vykonávanie manuálneho a automatizovaného testovania aplikácií. Vyhodnocovanie výsledkov uskutočnených testov."/>
    <s v="Aktualizované hodnoty z VO a žiadosti o zmenu č.4"/>
    <m/>
    <n v="26880"/>
    <m/>
  </r>
  <r>
    <n v="87"/>
    <x v="2"/>
    <s v="Testovanie riešenia –  integrácia na Modul procesnej integrácie a integrácie údajov"/>
    <x v="4"/>
    <x v="2"/>
    <s v="IT tester (Modul Plánovanie kontrolných činností)"/>
    <s v="Modul Plánovanie kontrolných činností"/>
    <x v="1"/>
    <s v="MD"/>
    <n v="400"/>
    <n v="24"/>
    <m/>
    <n v="11520"/>
    <n v="11520"/>
    <n v="0"/>
    <n v="1"/>
    <n v="11520"/>
    <n v="11520"/>
    <s v="VO19331154/Zmluva č. 105/2021"/>
    <s v="Dodávateľ"/>
    <s v="Zmena hodnoty NFP podľa nacenenia od víťazného dodávateľa. Zodpovedanie za testovanie softvérových aplikácií s dôrazom na odhaľovanie chýb z hľadiska funkčnosti, použiteľnosti a bezpečnosti využívania softvéru. Vykonávanie manuálneho a automatizovaného testovania aplikácií. Vyhodnocovanie výsledkov uskutočnených testov."/>
    <s v="Aktualizované hodnoty z VO a žiadosti o zmenu č.4"/>
    <m/>
    <n v="11520"/>
    <m/>
  </r>
  <r>
    <n v="88"/>
    <x v="2"/>
    <s v="Testovanie riešenia – integrácia na iný ISVS "/>
    <x v="4"/>
    <x v="2"/>
    <s v="IT tester (Modul Správne konanie)"/>
    <s v="Modul Správne konanie"/>
    <x v="1"/>
    <s v="MD"/>
    <n v="400"/>
    <n v="40"/>
    <m/>
    <n v="19200"/>
    <n v="19200"/>
    <n v="0"/>
    <n v="1"/>
    <n v="19200"/>
    <n v="19200"/>
    <s v="VO19331154/Zmluva č. 105/2021"/>
    <s v="Dodávateľ"/>
    <s v="Zmena hodnoty NFP podľa nacenenia od víťazného dodávateľa. Zodpovedanie za testovanie softvérových aplikácií s dôrazom na odhaľovanie chýb z hľadiska funkčnosti, použiteľnosti a bezpečnosti využívania softvéru. Vykonávanie manuálneho a automatizovaného testovania aplikácií. Vyhodnocovanie výsledkov uskutočnených testov."/>
    <s v="Aktualizované hodnoty z VO a žiadosti o zmenu č.4"/>
    <m/>
    <n v="19200"/>
    <m/>
  </r>
  <r>
    <n v="89"/>
    <x v="2"/>
    <s v="Testovanie riešenia –  integrácia na Modul procesnej integrácie a integrácie údajov"/>
    <x v="4"/>
    <x v="2"/>
    <s v="IT tester (Modul Analýzy)"/>
    <s v="Modul Analýzy"/>
    <x v="1"/>
    <s v="MD"/>
    <n v="400"/>
    <n v="56"/>
    <m/>
    <n v="26880"/>
    <n v="26880"/>
    <n v="0"/>
    <n v="1"/>
    <n v="26880"/>
    <n v="26880"/>
    <s v="VO19331154/Zmluva č. 105/2021"/>
    <s v="Dodávateľ"/>
    <s v="Zmena hodnoty NFP podľa nacenenia od víťazného dodávateľa. Zodpovedanie za testovanie softvérových aplikácií s dôrazom na odhaľovanie chýb z hľadiska funkčnosti, použiteľnosti a bezpečnosti využívania softvéru. Vykonávanie manuálneho a automatizovaného testovania aplikácií. Vyhodnocovanie výsledkov uskutočnených testov."/>
    <s v="Aktualizované hodnoty z VO a žiadosti o zmenu č.4"/>
    <m/>
    <n v="26880"/>
    <m/>
  </r>
  <r>
    <n v="90"/>
    <x v="2"/>
    <s v="Testovanie riešenia –  integrácia na Modul procesnej integrácie a integrácie údajov"/>
    <x v="4"/>
    <x v="2"/>
    <s v="IT tester (Modul Podnety)"/>
    <s v="Modul Podnety"/>
    <x v="1"/>
    <s v="MD"/>
    <n v="400"/>
    <n v="24"/>
    <m/>
    <n v="11520"/>
    <n v="11520"/>
    <n v="0"/>
    <n v="1"/>
    <n v="11520"/>
    <n v="11520"/>
    <s v="VO19331154/Zmluva č. 105/2021"/>
    <s v="Dodávateľ"/>
    <s v="Zmena hodnoty NFP podľa nacenenia od víťazného dodávateľa. Zodpovedanie za testovanie softvérových aplikácií s dôrazom na odhaľovanie chýb z hľadiska funkčnosti, použiteľnosti a bezpečnosti využívania softvéru. Vykonávanie manuálneho a automatizovaného testovania aplikácií. Vyhodnocovanie výsledkov uskutočnených testov."/>
    <s v="Aktualizované hodnoty z VO a žiadosti o zmenu č.4"/>
    <m/>
    <n v="11520"/>
    <m/>
  </r>
  <r>
    <n v="91"/>
    <x v="2"/>
    <s v="Testovanie riešenia okrem integrácie"/>
    <x v="4"/>
    <x v="2"/>
    <s v="IT tester (Modul Vyhodnocovanie  a reporting)"/>
    <s v="Modul Vyhodnocovanie  a reporting"/>
    <x v="1"/>
    <s v="MD"/>
    <n v="400"/>
    <n v="24"/>
    <m/>
    <n v="11520"/>
    <n v="11520"/>
    <n v="0"/>
    <n v="1"/>
    <n v="11520"/>
    <n v="11520"/>
    <s v="VO19331154/Zmluva č. 105/2021"/>
    <s v="Dodávateľ"/>
    <s v="Zmena hodnoty NFP podľa nacenenia od víťazného dodávateľa. Zodpovedanie za testovanie softvérových aplikácií s dôrazom na odhaľovanie chýb z hľadiska funkčnosti, použiteľnosti a bezpečnosti využívania softvéru. Vykonávanie manuálneho a automatizovaného testovania aplikácií. Vyhodnocovanie výsledkov uskutočnených testov."/>
    <s v="Aktualizované hodnoty z VO a žiadosti o zmenu č.4"/>
    <m/>
    <n v="11520"/>
    <m/>
  </r>
  <r>
    <n v="92"/>
    <x v="2"/>
    <s v="Testovanie riešenia okrem integrácie"/>
    <x v="4"/>
    <x v="2"/>
    <s v="IT tester (Mobilný Agendový informačný systém KSED)"/>
    <s v="Mobilný Agendový informačný systém KSED"/>
    <x v="2"/>
    <s v="MD"/>
    <n v="400"/>
    <n v="24"/>
    <m/>
    <n v="11520"/>
    <n v="11520"/>
    <n v="0"/>
    <n v="1"/>
    <n v="11520"/>
    <n v="11520"/>
    <s v="VO19331154/Zmluva č. 105/2021"/>
    <s v="Dodávateľ"/>
    <s v="Zmena hodnoty NFP podľa nacenenia od víťazného dodávateľa. Zodpovedanie za testovanie softvérových aplikácií s dôrazom na odhaľovanie chýb z hľadiska funkčnosti, použiteľnosti a bezpečnosti využívania softvéru. Vykonávanie manuálneho a automatizovaného testovania aplikácií. Vyhodnocovanie výsledkov uskutočnených testov."/>
    <s v="Aktualizované hodnoty z VO a žiadosti o zmenu č.4"/>
    <m/>
    <n v="11520"/>
    <m/>
  </r>
  <r>
    <n v="93"/>
    <x v="2"/>
    <s v="Testovanie riešenia okrem integrácie"/>
    <x v="4"/>
    <x v="2"/>
    <s v="IT tester (Verejný portál KSED)"/>
    <s v="Verejný portál KSED"/>
    <x v="3"/>
    <s v="MD"/>
    <n v="400"/>
    <n v="24"/>
    <m/>
    <n v="11520"/>
    <n v="11520"/>
    <n v="0"/>
    <n v="1"/>
    <n v="11520"/>
    <n v="11520"/>
    <s v="VO19331154/Zmluva č. 105/2021"/>
    <s v="Dodávateľ"/>
    <s v="Zmena hodnoty NFP podľa nacenenia od víťazného dodávateľa. Zodpovedanie za testovanie softvérových aplikácií s dôrazom na odhaľovanie chýb z hľadiska funkčnosti, použiteľnosti a bezpečnosti využívania softvéru. Vykonávanie manuálneho a automatizovaného testovania aplikácií. Vyhodnocovanie výsledkov uskutočnených testov."/>
    <s v="Aktualizované hodnoty z VO a žiadosti o zmenu č.4"/>
    <m/>
    <n v="11520"/>
    <m/>
  </r>
  <r>
    <n v="94"/>
    <x v="2"/>
    <s v="Testovanie riešenia okrem integrácie"/>
    <x v="4"/>
    <x v="2"/>
    <s v="IT tester (Mobilná aplikácia Podnety)"/>
    <s v="Mobilná aplikácia Podnety"/>
    <x v="4"/>
    <s v="MD"/>
    <n v="400"/>
    <n v="5"/>
    <m/>
    <n v="2400"/>
    <n v="2400"/>
    <n v="0"/>
    <n v="1"/>
    <n v="2400"/>
    <n v="2400"/>
    <s v="VO19331154/Zmluva č. 105/2021"/>
    <s v="Dodávateľ"/>
    <s v="Zmena hodnoty NFP podľa nacenenia od víťazného dodávateľa. Zodpovedanie za testovanie softvérových aplikácií s dôrazom na odhaľovanie chýb z hľadiska funkčnosti, použiteľnosti a bezpečnosti využívania softvéru. Vykonávanie manuálneho a automatizovaného testovania aplikácií. Vyhodnocovanie výsledkov uskutočnených testov."/>
    <s v="Aktualizované hodnoty z VO a žiadosti o zmenu č.4"/>
    <m/>
    <n v="2400"/>
    <m/>
  </r>
  <r>
    <n v="95"/>
    <x v="2"/>
    <s v="Testovanie riešenia – integrácia na iný ISVS "/>
    <x v="4"/>
    <x v="2"/>
    <s v="IT tester (Integračné rozhrania a spoločné funkcionality)"/>
    <s v="Integračné rozhrania a spoločné funkcionality"/>
    <x v="1"/>
    <s v="MD"/>
    <n v="400"/>
    <n v="40"/>
    <m/>
    <n v="19200"/>
    <n v="19200"/>
    <n v="0"/>
    <n v="1"/>
    <n v="19200"/>
    <n v="19200"/>
    <s v="VO19331154/Zmluva č. 105/2021"/>
    <s v="Dodávateľ"/>
    <s v="Zmena hodnoty NFP podľa nacenenia od víťazného dodávateľa. Zodpovedanie za testovanie softvérových aplikácií s dôrazom na odhaľovanie chýb z hľadiska funkčnosti, použiteľnosti a bezpečnosti využívania softvéru. Vykonávanie manuálneho a automatizovaného testovania aplikácií. Vyhodnocovanie výsledkov uskutočnených testov."/>
    <s v="Aktualizované hodnoty z VO a žiadosti o zmenu č.4"/>
    <m/>
    <n v="19200"/>
    <m/>
  </r>
  <r>
    <n v="96"/>
    <x v="2"/>
    <s v="Testovanie riešenia okrem integrácie"/>
    <x v="4"/>
    <x v="2"/>
    <s v="Špecialista pre bezpečnosť IT (Dohľad špecialistu na bezpečnosť)"/>
    <s v="Dohľad špecialistu na bezpečnosť"/>
    <x v="1"/>
    <s v="MD"/>
    <n v="500"/>
    <n v="8"/>
    <m/>
    <n v="4800"/>
    <n v="4800"/>
    <n v="0"/>
    <n v="1"/>
    <n v="4800"/>
    <n v="4800"/>
    <s v="VO19331154/Zmluva č. 105/2021"/>
    <s v="Dodávateľ"/>
    <s v="Zmena hodnoty NFP podľa nacenenia od víťazného dodávateľa. Vykonáva činnosti v súlade s popisom projektovej role vo Vyhláške č. 85/2020 Z. z. _x000a_zodpovedá za dodržanie princípov a štandardov na kybernertickú a IT bezpečnosť, za kontrolu a audit správnosti riešenia v oblasti bezpečnosti._x000a_koordinuje a riadi činnosť v oblasti bezpečnosti prevádzky IT, spolupracuje na projektoch, na rozvoji nástrojov a postupov k optimalizácii bezpečnostných systémov a opatrení. Stanovuje základné požiadavky, podmienky a štandardy pre oblasť bezpečnosti programov, systémov, databázy či sieti. Spracováva a kontroluje príslušné interné predpisy a dohliada nad plnením týchto štandardov a predpisov. Kontroluje a riadi činnosť nad bezpečnostnými testami, bezpečnostnými incidentmi v prevádzke IT. Poskytuje inštrukcie a poradenstvo používateľom počítačov a informačných systémov pre oblasť bezpečnosti"/>
    <s v="Aktualizované hodnoty z VO a žiadosti o zmenu č.4"/>
    <m/>
    <n v="4800"/>
    <m/>
  </r>
  <r>
    <n v="97"/>
    <x v="2"/>
    <s v="Testovanie riešenia"/>
    <x v="4"/>
    <x v="3"/>
    <s v="IT bezpečnostný a dátový analytik objednávateľa - IT junior"/>
    <m/>
    <x v="1"/>
    <s v="hod"/>
    <n v="24.29"/>
    <n v="640"/>
    <m/>
    <n v="15545.6"/>
    <n v="15545.6"/>
    <n v="0"/>
    <n v="1"/>
    <n v="15545.6"/>
    <n v="11986.54"/>
    <m/>
    <s v="Hlavný partner"/>
    <s v="Kumulovaná interná rola, ktorá vykonáva činnosti v súlade s popisom projektovej role vo Vyhláške č. 85/2020 Z. z.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dátovej bezpečnosti a aktualizácii a archivácii databáz na úrovni prijímateľa  realizovaného projektu v súlade so štandardami IT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pravidelnom sledovaní platných právnych predpisov SR v oblasti bezpečnosti IT podľa zákona  o kybernetickej bezpečnosti a zákona o informačných technológiách vo verejnej správe,  usmernení a pokynov QA, MIRRI pre čerpanie fondov EÚ v rámci IKT;                            _x000a_•konaní vo vzťahu k dodávateľom, resp. partnerom na projek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spolupráci na činnostiach v rámci implementácie projektu: monitorovanie, verejné obstarávanie v oblasti IKT, a pod. Spolupracuje na pravidelnom reportovaní stavu projektu RO/SO OP I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Zodpovedá za udržiavanie databázy, spravuje používateľské účty/prístupy, zálohuje a optimalizuje chod databázy, identifikuje problémové oblasti a navrhuje riešenia na ich odstránenie.                                                                                                                                                                    _x000a_•Ako správca databáz vykonáva, prípadne riadi odborné činnosti v oblasti správy bázy dát a dátových súborov IKT._x000a_•Zabezpečuje inštaláciu, testovanie, oživovanie a nastavenie parametrov a následnú správu databázy vrátane prostriedkov a aplikácií na jej využitie. Zabezpečuje migráciu dát, generovanie výstupov, vytváranie relácií a spájanie dát, zálohovanie dát a správu používateľských účtov/prístupov._x000a_•Zabezpečuje monitoring prevádzky bázy dát, administratívne a dokumentačné práce súvisiace so správou databázy a riešenie neštandardných situácií. Poskytuje inštrukcie a poradenstvo používateľom databázových systémov._x000a_•Celý rozsah agendy rieši v súlade s legislatívou o dátových štandardoch SR – Vyhláškou 78/2020 Zz o dátových štandaroch.                                                                                                                                                                                                                                                                                _x000a_•Zodpovedá za dodržanie princípov a štandardov na kybernertickú a IT bezpečnosť, za kontrolu a audit správnosti riešenia v oblasti bezpečnosti._x000a_•Koordinuje a riadi činnosť v oblasti bezpečnosti prevádzky IT, spolupracuje na projektoch, na rozvoji nástrojov a postupov k optimalizácii bezpečnostných systémov a opatrení.                                                                                                                                                                                •Stanovuje základné požiadavky, podmienky a štandardy pre oblasť bezpečnosti programov, systémov, databázy či siet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Spracováva a kontroluje príslušné interné predpisy a dohliada nad plnením týchto štandardov a predpiso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Kontroluje a riadi činnosť nad bezpečnostnými testami, bezpečnostnými incidentmi v prevádzke IT.      _x000a_Výpočet: 4 mesiacov * ≈160 hodín za mesiac * sadzba na hodinu 24,291 € _x000a_Výpočet sadzby za 1 osobohodinu v EUR: 15,00*1,2*1,3495 = 24,291_x000a_Parametre výpočtu:_x000a_15,00 = sadzba základnej hrubej mzdy zamestnanca 15,00 EUR za hodinu (počítame s maximálnou možnou výškou 15 EUR)_x000a_1,2 = 20% odmena zo mzdy_x000a_1,3495 = 34,95% odvody za zamestnávateľa"/>
    <s v="Aktualizované hodnoty z VO a žiadosti o zmenu č.4"/>
    <m/>
    <n v="11986.54"/>
    <m/>
  </r>
  <r>
    <n v="98"/>
    <x v="2"/>
    <s v="Testovanie riešenia"/>
    <x v="4"/>
    <x v="3"/>
    <s v="vlastník procesov objednávateľa (biznis vlastník) - junior"/>
    <m/>
    <x v="1"/>
    <s v="hod"/>
    <n v="24.29"/>
    <n v="1382"/>
    <m/>
    <n v="33568.78"/>
    <n v="33568.78"/>
    <n v="0"/>
    <n v="1"/>
    <n v="33568.78"/>
    <n v="18465.490000000002"/>
    <m/>
    <s v="Hlavný partner"/>
    <s v="Skupina osôb v počte 12 ako vlatníci procesov._x000a_Výpočet: 4 mesiacov * ≈28,8 hodín za mesiac * sadzba na hodinu 24,291 € _x000a_Výpočet sadzby za 1 osobohodinu v EUR: 15,00*1,2*1,3495 = 24,291_x000a_Parametre výpočtu:_x000a_15,00 = sadzba základnej hrubej mzdy zamestnanca 15,00 EUR za hodinu (počítame s maximálnou možnou výškou 15 EUR)_x000a_1,2 = 20% odmena zo mzdy_x000a_1,3495 = 34,95% odvody za zamestnávateľa"/>
    <s v="Aktualizované hodnoty z VO a žiadosti o zmenu č.4"/>
    <m/>
    <n v="18465.490000000002"/>
    <m/>
  </r>
  <r>
    <n v="99"/>
    <x v="2"/>
    <s v="Testovanie riešenia"/>
    <x v="4"/>
    <x v="3"/>
    <s v="Manažér pre integrácie"/>
    <m/>
    <x v="1"/>
    <s v="hod"/>
    <n v="40.479999999999997"/>
    <n v="117"/>
    <m/>
    <n v="4736.16"/>
    <n v="4736.16"/>
    <n v="0"/>
    <n v="1"/>
    <n v="4736.16"/>
    <n v="3642.84"/>
    <m/>
    <s v="Hlavný partner"/>
    <s v="Vykonáva činnosti v súlade s popisom projektovej role vo Vyhláške č. 85/2020 Z. z. _x000a_Zodpovedá za riadenie integrácií v realizovanom projekte. V rámci projektu zabezpečuje podporu pri riadení, kontrole a audite procesu integrácie vyvíjaného SW riešenia s ostatnými IS tak, aby integrácia bola vykonaná podľa projektovej dokumentácie a podľa príslušných štandardov. Dohliada na kvalitu riadenia a kontrolu dokumentácie integračných rozhraní ako aj na testovanie integračných rozhraní vrátane. _x000a_IT SENIOR_x000a_Výpočet: 4 mesiacov * ≈29,2 hodín za mesiac * sadzba na hodinu 40,485 € _x000a_Výpočet sadzby za 1 osobohodinu v EUR: 25,00*1,2*1,3495 = 40,485_x000a_Parametre výpočtu:_x000a_25,00 = sadzba základnej hrubej mzdy zamestnanca 25,00 EUR za hodinu (počítame s maximálnou možnou výškou 25 EUR)_x000a_1,2 = 20% odmena zo mzdy_x000a_1,3495 = 34,95% odvody za zamestnávateľa"/>
    <s v="Aktualizované hodnoty z VO a žiadosti o zmenu č.4"/>
    <m/>
    <n v="3642.84"/>
    <m/>
  </r>
  <r>
    <n v="100"/>
    <x v="2"/>
    <s v="Testovanie riešenia"/>
    <x v="4"/>
    <x v="3"/>
    <s v="Kľúčový používateľ – end user - tester"/>
    <m/>
    <x v="1"/>
    <s v="hod"/>
    <n v="24.29"/>
    <n v="2765"/>
    <m/>
    <n v="67161.850000000006"/>
    <n v="67161.850000000006"/>
    <n v="0"/>
    <n v="1"/>
    <n v="67161.850000000006"/>
    <n v="23467.49"/>
    <m/>
    <s v="Hlavný partner"/>
    <s v="Skupina osôb v počte 24 ako Koneční užívatelia - testeri - kumulovaná špecifická rola: v tejto etape vystupuje ako tester._x000a_Výpočet: 4 mesiacov * ≈28,8 hodín za mesiac * sadzba na hodinu 24,291 € _x000a_Výpočet sadzby za 1 osobohodinu v EUR: 15,00*1,2*1,3495 = 24,291_x000a_Parametre výpočtu:_x000a_15,00 = sadzba základnej hrubej mzdy zamestnanca 15,00 EUR za hodinu (počítame s maximálnou možnou výškou 15 EUR)_x000a_1,2 = 20% odmena zo mzdy_x000a_1,3495 = 34,95% odvody za zamestnávateľa"/>
    <s v="Aktualizované hodnoty z VO a žiadosti o zmenu č.4"/>
    <m/>
    <n v="23467.49"/>
    <m/>
  </r>
  <r>
    <n v="101"/>
    <x v="2"/>
    <s v="Testovanie riešenia"/>
    <x v="4"/>
    <x v="3"/>
    <s v="Vlastník procesov - člen Riadiaceho výboru"/>
    <m/>
    <x v="1"/>
    <s v="hod"/>
    <n v="24.29"/>
    <n v="192"/>
    <m/>
    <n v="4663.68"/>
    <n v="4663.68"/>
    <n v="0"/>
    <n v="1"/>
    <n v="4663.68"/>
    <n v="2379.08"/>
    <m/>
    <s v="Hlavný partner"/>
    <s v="Vlastník procesov - člen Riadiaceho výboru projektu._x000a_Výpočet: 4 mesiacov * ≈ 48 hodín za mesiac * sadzba na hodinu 24,291 € _x000a_Výpočet sadzby za 1 osobohodinu v EUR: 15,00*1,2*1,3495 = 24,291_x000a_Parametre výpočtu:_x000a_15,00 = sadzba základnej hrubej mzdy zamestnanca 15,00 EUR za hodinu (počítame s maximálnou možnou výškou 15 EUR)_x000a_1,2 = 20% odmena zo mzdy_x000a_1,3495 = 34,95% odvody za zamestnávateľa"/>
    <s v="Aktualizované hodnoty z VO a žiadosti o zmenu č.4"/>
    <m/>
    <n v="2379.08"/>
    <m/>
  </r>
  <r>
    <n v="102"/>
    <x v="2"/>
    <s v="Testovanie riešenia"/>
    <x v="4"/>
    <x v="3"/>
    <s v="Kľúčový používateľ – end user - člen Riadiaceho výboru"/>
    <m/>
    <x v="1"/>
    <s v="hod"/>
    <n v="24.29"/>
    <n v="192"/>
    <m/>
    <n v="4663.68"/>
    <n v="4663.68"/>
    <n v="0"/>
    <n v="1"/>
    <n v="4663.68"/>
    <n v="2936.86"/>
    <m/>
    <s v="Hlavný partner"/>
    <s v="Kľúčový používateľ – end user  - člen Riadiaceho výboru projektu._x000a_Výpočet: 4 mesiacov * ≈ 48 hodín za mesiac * sadzba na hodinu 24,291 € _x000a_Výpočet sadzby za 1 osobohodinu v EUR: 15,00*1,2*1,3495 = 24,291_x000a_Parametre výpočtu:_x000a_15,00 = sadzba základnej hrubej mzdy zamestnanca 15,00 EUR za hodinu (počítame s maximálnou možnou výškou 15 EUR)_x000a_1,2 = 20% odmena zo mzdy_x000a_1,3495 = 34,95% odvody za zamestnávateľa"/>
    <s v="Aktualizované hodnoty z VO a žiadosti o zmenu č.4"/>
    <m/>
    <n v="2936.86"/>
    <m/>
  </r>
  <r>
    <n v="103"/>
    <x v="2"/>
    <s v="Testovanie riešenia"/>
    <x v="4"/>
    <x v="3"/>
    <s v="Dátový kurátor/Vlastník dát "/>
    <m/>
    <x v="1"/>
    <s v="hod"/>
    <n v="40.479999999999997"/>
    <n v="117"/>
    <m/>
    <n v="4736.16"/>
    <n v="4736.16"/>
    <n v="0"/>
    <n v="1"/>
    <n v="4736.16"/>
    <n v="3103.35"/>
    <m/>
    <s v="Hlavný partner"/>
    <s v="Vykonáva činnosti v súlade s popisom projektovej role vo Vyhláške č. 85/2020 Z. z. _x000a_Zodpovedá za riadenie migrácií dát v realizovanom projekte. V rámci projektu zabezpečuje podporu pri riadení, kontrole a audite procesu migrácí vyvíjaného SW riešenia s ostatnými IS tak, abymigrácia dát bola vykonaná podľa projektovej dokumentácie a podľa príslušných štandardov. Dohliada na kvalitu riadenia a kontrolu dokumentácie migračných tokov dát  ako aj na testovanie migračných rozhraní vrátane. _x000a_IT SENIOR_x000a_Výpočet: 4 mesiacov * ≈29,2 hodín za mesiac * sadzba na hodinu 40,485 € _x000a_Výpočet sadzby za 1 osobohodinu v EUR: 25,00*1,2*1,3495 = 40,485_x000a_Parametre výpočtu:_x000a_25,00 = sadzba základnej hrubej mzdy zamestnanca 25,00 EUR za hodinu (počítame s maximálnou možnou výškou 25 EUR)_x000a_1,2 = 20% odmena zo mzdy_x000a_1,3495 = 34,95% odvody za zamestnávateľa"/>
    <s v="Aktualizované hodnoty z VO a žiadosti o zmenu č.4"/>
    <m/>
    <n v="3103.35"/>
    <m/>
  </r>
  <r>
    <s v="Nasadenie"/>
    <x v="1"/>
    <m/>
    <x v="0"/>
    <x v="1"/>
    <m/>
    <m/>
    <x v="0"/>
    <m/>
    <m/>
    <m/>
    <m/>
    <m/>
    <m/>
    <m/>
    <m/>
    <m/>
    <m/>
    <m/>
    <m/>
    <m/>
    <m/>
    <m/>
    <m/>
    <m/>
  </r>
  <r>
    <n v="104"/>
    <x v="2"/>
    <s v="Nasadenie riešenia – integrácia na iný ISVS "/>
    <x v="5"/>
    <x v="2"/>
    <s v="Špecialista pre infraštruktúrny/HW špecialista (Modul Integrované povoľovanie)"/>
    <s v="Modul Integrované povoľovanie"/>
    <x v="1"/>
    <s v="MD"/>
    <n v="450"/>
    <n v="2"/>
    <m/>
    <n v="1080"/>
    <n v="1080"/>
    <n v="0"/>
    <n v="1"/>
    <n v="1080"/>
    <n v="1080"/>
    <s v="VO19331154/Zmluva č. 105/2021"/>
    <s v="Dodávateľ"/>
    <s v="Zmena hodnoty NFP podľa nacenenia od víťazného dodávateľa.Špecialista pre infraštruktúry/HW špecialista napr. sa vyjadruje k požiadavkám na IT infraštruktúru a návrhom IT infraštruktúry, zriaďuje/inštaluje, konfiguruje, diagnostikuje, opravuje, upgraduje/ rozširuje hardware a súvisiace technické zariadenia a spolupracuje pri nasadzovaní súvisiaceho SW. Zabezpečuje optimálnu prevádzku a výkon IT infraštruktúry. Rieši technické problémy a poskytuje technickú podporu v súvislosti s IT infraštruktúrou."/>
    <s v="Aktualizované hodnoty z VO a žiadosti o zmenu č.4"/>
    <m/>
    <m/>
    <n v="1080"/>
  </r>
  <r>
    <n v="105"/>
    <x v="2"/>
    <s v="Nasadenie riešenia – integrácia na iný ISVS "/>
    <x v="5"/>
    <x v="2"/>
    <s v="Špecialista pre infraštruktúrny/HW špecialista (Modul Kontrolná činnosť)"/>
    <s v="Modul Kontrolná činnosť"/>
    <x v="1"/>
    <s v="MD"/>
    <n v="450"/>
    <n v="8"/>
    <m/>
    <n v="4320"/>
    <n v="4320"/>
    <n v="0"/>
    <n v="1"/>
    <n v="4320"/>
    <n v="4320"/>
    <s v="VO19331154/Zmluva č. 105/2021"/>
    <s v="Dodávateľ"/>
    <s v="Zmena hodnoty NFP podľa nacenenia od víťazného dodávateľa.Špecialista pre infraštruktúry/HW špecialista napr. sa vyjadruje k požiadavkám na IT infraštruktúru a návrhom IT infraštruktúry, zriaďuje/inštaluje, konfiguruje, diagnostikuje, opravuje, upgraduje/ rozširuje hardware a súvisiace technické zariadenia a spolupracuje pri nasadzovaní súvisiaceho SW. Zabezpečuje optimálnu prevádzku a výkon IT infraštruktúry. Rieši technické problémy a poskytuje technickú podporu v súvislosti s IT infraštruktúrou."/>
    <s v="Aktualizované hodnoty z VO a žiadosti o zmenu č.4"/>
    <m/>
    <m/>
    <n v="4320"/>
  </r>
  <r>
    <n v="106"/>
    <x v="2"/>
    <s v="Nasadenie riešenia okrem integrácie"/>
    <x v="5"/>
    <x v="2"/>
    <s v="Špecialista pre infraštruktúrny/HW špecialista (Modul Riadenie interných procesných služieb)"/>
    <s v="Modul Riadenie interných procesných služieb"/>
    <x v="1"/>
    <s v="MD"/>
    <n v="450"/>
    <n v="2"/>
    <m/>
    <n v="1080"/>
    <n v="1080"/>
    <n v="0"/>
    <n v="1"/>
    <n v="1080"/>
    <n v="1080"/>
    <s v="VO19331154/Zmluva č. 105/2021"/>
    <s v="Dodávateľ"/>
    <s v="Zmena hodnoty NFP podľa nacenenia od víťazného dodávateľa.Špecialista pre infraštruktúry/HW špecialista napr. sa vyjadruje k požiadavkám na IT infraštruktúru a návrhom IT infraštruktúry, zriaďuje/inštaluje, konfiguruje, diagnostikuje, opravuje, upgraduje/ rozširuje hardware a súvisiace technické zariadenia a spolupracuje pri nasadzovaní súvisiaceho SW. Zabezpečuje optimálnu prevádzku a výkon IT infraštruktúry. Rieši technické problémy a poskytuje technickú podporu v súvislosti s IT infraštruktúrou."/>
    <s v="Aktualizované hodnoty z VO a žiadosti o zmenu č.4"/>
    <m/>
    <m/>
    <n v="1080"/>
  </r>
  <r>
    <n v="107"/>
    <x v="2"/>
    <s v="Nasadenie riešenia –  integrácia na Modul procesnej integrácie a integrácie údajov"/>
    <x v="5"/>
    <x v="2"/>
    <s v="Špecialista pre infraštruktúrny/HW špecialista (Modul Plánovanie kontrolných činností)"/>
    <s v="Modul Plánovanie kontrolných činností"/>
    <x v="1"/>
    <s v="MD"/>
    <n v="450"/>
    <n v="1"/>
    <m/>
    <n v="540"/>
    <n v="540"/>
    <n v="0"/>
    <n v="1"/>
    <n v="540"/>
    <n v="540"/>
    <s v="VO19331154/Zmluva č. 105/2021"/>
    <s v="Dodávateľ"/>
    <s v="Zmena hodnoty NFP podľa nacenenia od víťazného dodávateľa.Špecialista pre infraštruktúry/HW špecialista napr. sa vyjadruje k požiadavkám na IT infraštruktúru a návrhom IT infraštruktúry, zriaďuje/inštaluje, konfiguruje, diagnostikuje, opravuje, upgraduje/ rozširuje hardware a súvisiace technické zariadenia a spolupracuje pri nasadzovaní súvisiaceho SW. Zabezpečuje optimálnu prevádzku a výkon IT infraštruktúry. Rieši technické problémy a poskytuje technickú podporu v súvislosti s IT infraštruktúrou."/>
    <s v="Aktualizované hodnoty z VO a žiadosti o zmenu č.4"/>
    <m/>
    <m/>
    <n v="540"/>
  </r>
  <r>
    <n v="108"/>
    <x v="2"/>
    <s v="Nasadenie riešenia – integrácia na iný ISVS "/>
    <x v="5"/>
    <x v="2"/>
    <s v="Špecialista pre infraštruktúrny/HW špecialista (Modul Správne konanie)"/>
    <s v="Modul Správne konanie"/>
    <x v="1"/>
    <s v="MD"/>
    <n v="450"/>
    <n v="1"/>
    <m/>
    <n v="540"/>
    <n v="540"/>
    <n v="0"/>
    <n v="1"/>
    <n v="540"/>
    <n v="540"/>
    <s v="VO19331154/Zmluva č. 105/2021"/>
    <s v="Dodávateľ"/>
    <s v="Zmena hodnoty NFP podľa nacenenia od víťazného dodávateľa.Špecialista pre infraštruktúry/HW špecialista napr. sa vyjadruje k požiadavkám na IT infraštruktúru a návrhom IT infraštruktúry, zriaďuje/inštaluje, konfiguruje, diagnostikuje, opravuje, upgraduje/ rozširuje hardware a súvisiace technické zariadenia a spolupracuje pri nasadzovaní súvisiaceho SW. Zabezpečuje optimálnu prevádzku a výkon IT infraštruktúry. Rieši technické problémy a poskytuje technickú podporu v súvislosti s IT infraštruktúrou."/>
    <s v="Aktualizované hodnoty z VO a žiadosti o zmenu č.4"/>
    <m/>
    <m/>
    <n v="540"/>
  </r>
  <r>
    <n v="109"/>
    <x v="2"/>
    <s v="Nasadenie riešenia –  integrácia na Modul procesnej integrácie a integrácie údajov"/>
    <x v="5"/>
    <x v="2"/>
    <s v="Špecialista pre infraštruktúrny/HW špecialista (Modul Analýzy)"/>
    <s v="Modul Analýzy"/>
    <x v="1"/>
    <s v="MD"/>
    <n v="450"/>
    <n v="2"/>
    <m/>
    <n v="1080"/>
    <n v="1080"/>
    <n v="0"/>
    <n v="1"/>
    <n v="1080"/>
    <n v="1080"/>
    <s v="VO19331154/Zmluva č. 105/2021"/>
    <s v="Dodávateľ"/>
    <s v="Zmena hodnoty NFP podľa nacenenia od víťazného dodávateľa.Špecialista pre infraštruktúry/HW špecialista napr. sa vyjadruje k požiadavkám na IT infraštruktúru a návrhom IT infraštruktúry, zriaďuje/inštaluje, konfiguruje, diagnostikuje, opravuje, upgraduje/ rozširuje hardware a súvisiace technické zariadenia a spolupracuje pri nasadzovaní súvisiaceho SW. Zabezpečuje optimálnu prevádzku a výkon IT infraštruktúry. Rieši technické problémy a poskytuje technickú podporu v súvislosti s IT infraštruktúrou."/>
    <s v="Aktualizované hodnoty z VO a žiadosti o zmenu č.4"/>
    <m/>
    <m/>
    <n v="1080"/>
  </r>
  <r>
    <n v="110"/>
    <x v="2"/>
    <s v="Nasadenie riešenia –  integrácia na Modul procesnej integrácie a integrácie údajov"/>
    <x v="5"/>
    <x v="2"/>
    <s v="Špecialista pre infraštruktúrny/HW špecialista (Modul Podnety)"/>
    <s v="Modul Podnety"/>
    <x v="1"/>
    <s v="MD"/>
    <n v="450"/>
    <n v="1"/>
    <m/>
    <n v="540"/>
    <n v="540"/>
    <n v="0"/>
    <n v="1"/>
    <n v="540"/>
    <n v="540"/>
    <s v="VO19331154/Zmluva č. 105/2021"/>
    <s v="Dodávateľ"/>
    <s v="Zmena hodnoty NFP podľa nacenenia od víťazného dodávateľa.Špecialista pre infraštruktúry/HW špecialista napr. sa vyjadruje k požiadavkám na IT infraštruktúru a návrhom IT infraštruktúry, zriaďuje/inštaluje, konfiguruje, diagnostikuje, opravuje, upgraduje/ rozširuje hardware a súvisiace technické zariadenia a spolupracuje pri nasadzovaní súvisiaceho SW. Zabezpečuje optimálnu prevádzku a výkon IT infraštruktúry. Rieši technické problémy a poskytuje technickú podporu v súvislosti s IT infraštruktúrou."/>
    <s v="Aktualizované hodnoty z VO a žiadosti o zmenu č.4"/>
    <m/>
    <m/>
    <n v="540"/>
  </r>
  <r>
    <n v="111"/>
    <x v="2"/>
    <s v="Nasadenie riešenia okrem integrácie"/>
    <x v="5"/>
    <x v="2"/>
    <s v="Špecialista pre infraštruktúrny/HW špecialista (Modul Vyhodnocovanie  a reporting)"/>
    <s v="Modul Vyhodnocovanie  a reporting"/>
    <x v="1"/>
    <s v="MD"/>
    <n v="450"/>
    <n v="1"/>
    <m/>
    <n v="540"/>
    <n v="540"/>
    <n v="0"/>
    <n v="1"/>
    <n v="540"/>
    <n v="540"/>
    <s v="VO19331154/Zmluva č. 105/2021"/>
    <s v="Dodávateľ"/>
    <s v="Zmena hodnoty NFP podľa nacenenia od víťazného dodávateľa.Špecialista pre infraštruktúry/HW špecialista napr. sa vyjadruje k požiadavkám na IT infraštruktúru a návrhom IT infraštruktúry, zriaďuje/inštaluje, konfiguruje, diagnostikuje, opravuje, upgraduje/ rozširuje hardware a súvisiace technické zariadenia a spolupracuje pri nasadzovaní súvisiaceho SW. Zabezpečuje optimálnu prevádzku a výkon IT infraštruktúry. Rieši technické problémy a poskytuje technickú podporu v súvislosti s IT infraštruktúrou."/>
    <s v="Aktualizované hodnoty z VO a žiadosti o zmenu č.4"/>
    <m/>
    <m/>
    <n v="540"/>
  </r>
  <r>
    <n v="112"/>
    <x v="2"/>
    <s v="Nasadenie riešenia okrem integrácie"/>
    <x v="5"/>
    <x v="2"/>
    <s v="Špecialista pre infraštruktúrny/HW špecialista (Mobilný Agendový informačný systém KSED)"/>
    <s v="Mobilný Agendový informačný systém KSED"/>
    <x v="2"/>
    <s v="MD"/>
    <n v="450"/>
    <n v="5"/>
    <m/>
    <n v="2700"/>
    <n v="2700"/>
    <n v="0"/>
    <n v="1"/>
    <n v="2700"/>
    <n v="2700"/>
    <s v="VO19331154/Zmluva č. 105/2021"/>
    <s v="Dodávateľ"/>
    <s v="Zmena hodnoty NFP podľa nacenenia od víťazného dodávateľa.Špecialista pre infraštruktúry/HW špecialista napr. sa vyjadruje k požiadavkám na IT infraštruktúru a návrhom IT infraštruktúry, zriaďuje/inštaluje, konfiguruje, diagnostikuje, opravuje, upgraduje/ rozširuje hardware a súvisiace technické zariadenia a spolupracuje pri nasadzovaní súvisiaceho SW. Zabezpečuje optimálnu prevádzku a výkon IT infraštruktúry. Rieši technické problémy a poskytuje technickú podporu v súvislosti s IT infraštruktúrou."/>
    <s v="Aktualizované hodnoty z VO a žiadosti o zmenu č.4"/>
    <m/>
    <m/>
    <n v="2700"/>
  </r>
  <r>
    <n v="113"/>
    <x v="2"/>
    <s v="Nasadenie riešenia okrem integrácie"/>
    <x v="5"/>
    <x v="2"/>
    <s v="Špecialista pre infraštruktúrny/HW špecialista (Verejný portál KSED)"/>
    <s v="Verejný portál KSED"/>
    <x v="3"/>
    <s v="MD"/>
    <n v="450"/>
    <n v="2"/>
    <m/>
    <n v="1080"/>
    <n v="1080"/>
    <n v="0"/>
    <n v="1"/>
    <n v="1080"/>
    <n v="1080"/>
    <s v="VO19331154/Zmluva č. 105/2021"/>
    <s v="Dodávateľ"/>
    <s v="Zmena hodnoty NFP podľa nacenenia od víťazného dodávateľa.Špecialista pre infraštruktúry/HW špecialista napr. sa vyjadruje k požiadavkám na IT infraštruktúru a návrhom IT infraštruktúry, zriaďuje/inštaluje, konfiguruje, diagnostikuje, opravuje, upgraduje/ rozširuje hardware a súvisiace technické zariadenia a spolupracuje pri nasadzovaní súvisiaceho SW. Zabezpečuje optimálnu prevádzku a výkon IT infraštruktúry. Rieši technické problémy a poskytuje technickú podporu v súvislosti s IT infraštruktúrou."/>
    <s v="Aktualizované hodnoty z VO a žiadosti o zmenu č.4"/>
    <m/>
    <m/>
    <n v="1080"/>
  </r>
  <r>
    <n v="114"/>
    <x v="2"/>
    <s v="Nasadenie riešenia okrem integrácie"/>
    <x v="5"/>
    <x v="2"/>
    <s v="Špecialista pre infraštruktúrny/HW špecialista (Mobilná aplikácia Podnety)"/>
    <s v="Mobilná aplikácia Podnety"/>
    <x v="4"/>
    <s v="MD"/>
    <n v="450"/>
    <n v="2"/>
    <m/>
    <n v="1080"/>
    <n v="1080"/>
    <n v="0"/>
    <n v="1"/>
    <n v="1080"/>
    <n v="1080"/>
    <s v="VO19331154/Zmluva č. 105/2021"/>
    <s v="Dodávateľ"/>
    <s v="Zmena hodnoty NFP podľa nacenenia od víťazného dodávateľa.Špecialista pre infraštruktúry/HW špecialista napr. sa vyjadruje k požiadavkám na IT infraštruktúru a návrhom IT infraštruktúry, zriaďuje/inštaluje, konfiguruje, diagnostikuje, opravuje, upgraduje/ rozširuje hardware a súvisiace technické zariadenia a spolupracuje pri nasadzovaní súvisiaceho SW. Zabezpečuje optimálnu prevádzku a výkon IT infraštruktúry. Rieši technické problémy a poskytuje technickú podporu v súvislosti s IT infraštruktúrou."/>
    <s v="Aktualizované hodnoty z VO a žiadosti o zmenu č.4"/>
    <m/>
    <m/>
    <n v="1080"/>
  </r>
  <r>
    <n v="115"/>
    <x v="2"/>
    <s v="Nasadenie riešenia – integrácia na iný ISVS "/>
    <x v="5"/>
    <x v="2"/>
    <s v="Špecialista pre infraštruktúrny/HW špecialista (Integračné rozhrania a spoločné funkcionality)"/>
    <s v="Integračné rozhrania a spoločné funkcionality"/>
    <x v="1"/>
    <s v="MD"/>
    <n v="450"/>
    <n v="8"/>
    <m/>
    <n v="4320"/>
    <n v="4320"/>
    <n v="0"/>
    <n v="1"/>
    <n v="4320"/>
    <n v="4320"/>
    <s v="VO19331154/Zmluva č. 105/2021"/>
    <s v="Dodávateľ"/>
    <s v="Zmena hodnoty NFP podľa nacenenia od víťazného dodávateľa.Špecialista pre infraštruktúry/HW špecialista napr. sa vyjadruje k požiadavkám na IT infraštruktúru a návrhom IT infraštruktúry, zriaďuje/inštaluje, konfiguruje, diagnostikuje, opravuje, upgraduje/ rozširuje hardware a súvisiace technické zariadenia a spolupracuje pri nasadzovaní súvisiaceho SW. Zabezpečuje optimálnu prevádzku a výkon IT infraštruktúry. Rieši technické problémy a poskytuje technickú podporu v súvislosti s IT infraštruktúrou."/>
    <s v="Aktualizované hodnoty z VO a žiadosti o zmenu č.4"/>
    <m/>
    <m/>
    <n v="4320"/>
  </r>
  <r>
    <n v="116"/>
    <x v="2"/>
    <s v="Nasadenie riešenia okrem integrácie"/>
    <x v="5"/>
    <x v="2"/>
    <s v="Špecialista pre infraštruktúrny/HW špecialista(IS KSED)"/>
    <s v="IS KSED"/>
    <x v="1"/>
    <s v="MD"/>
    <n v="450"/>
    <n v="5"/>
    <m/>
    <n v="2700"/>
    <n v="2700"/>
    <n v="0"/>
    <n v="1"/>
    <n v="2700"/>
    <n v="2700"/>
    <s v="VO19331154/Zmluva č. 105/2021"/>
    <s v="Dodávateľ"/>
    <s v="Zmena hodnoty NFP podľa nacenenia od víťazného dodávateľa.Špecialista pre infraštruktúry/HW špecialista napr. sa vyjadruje k požiadavkám na IT infraštruktúru a návrhom IT infraštruktúry, zriaďuje/inštaluje, konfiguruje, diagnostikuje, opravuje, upgraduje/ rozširuje hardware a súvisiace technické zariadenia a spolupracuje pri nasadzovaní súvisiaceho SW. Zabezpečuje optimálnu prevádzku a výkon IT infraštruktúry. Rieši technické problémy a poskytuje technickú podporu v súvislosti s IT infraštruktúrou."/>
    <s v="Aktualizované hodnoty z VO a žiadosti o zmenu č.4"/>
    <m/>
    <m/>
    <n v="2700"/>
  </r>
  <r>
    <n v="117"/>
    <x v="2"/>
    <s v="Nasadenie riešenia – integrácia na iný ISVS "/>
    <x v="5"/>
    <x v="3"/>
    <s v="Školiteľ pre IT systémy (Integračné rozhrania a spoločné funkcionality)"/>
    <s v="Integračné rozhrania a spoločné funkcionality"/>
    <x v="1"/>
    <s v="MD"/>
    <n v="400"/>
    <n v="32"/>
    <m/>
    <n v="15360"/>
    <n v="15360"/>
    <n v="0"/>
    <n v="1"/>
    <n v="15360"/>
    <n v="15360"/>
    <s v="VO19331154/Zmluva č. 105/2021"/>
    <s v="Dodávateľ"/>
    <s v="Zmena hodnoty NFP podľa nacenenia od víťazného dodávateľa. Pripravuje a tvorí obsah školenia, osobne ho prezentuje a vyučuje."/>
    <s v="Aktualizované hodnoty z VO a žiadosti o zmenu č.4"/>
    <m/>
    <m/>
    <n v="15360"/>
  </r>
  <r>
    <n v="118"/>
    <x v="2"/>
    <s v="Nasadenie riešenia"/>
    <x v="5"/>
    <x v="3"/>
    <s v="IT bezpečnostný a dátový analytik objednávateľa - IT junior"/>
    <m/>
    <x v="1"/>
    <s v="hod"/>
    <n v="24.29"/>
    <n v="160"/>
    <m/>
    <n v="3886.4"/>
    <n v="3886.4"/>
    <n v="0"/>
    <n v="1"/>
    <n v="3886.4"/>
    <n v="8646.42"/>
    <m/>
    <s v="Hlavný partner"/>
    <s v="Kumulovaná interná rola, ktorá vykonáva činnosti v súlade s popisom projektovej role vo Vyhláške č. 85/2020 Z. z.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dátovej bezpečnosti a aktualizácii a archivácii databáz na úrovni prijímateľa  realizovaného projektu v súlade so štandardami IT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pravidelnom sledovaní platných právnych predpisov SR v oblasti bezpečnosti IT podľa zákona  o kybernetickej bezpečnosti a zákona o informačných technológiách vo verejnej správe,  usmernení a pokynov QA, MIRRI pre čerpanie fondov EÚ v rámci IKT;                            _x000a_•konaní vo vzťahu k dodávateľom, resp. partnerom na projek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spolupráci na činnostiach v rámci implementácie projektu: monitorovanie, verejné obstarávanie v oblasti IKT, a pod. Spolupracuje na pravidelnom reportovaní stavu projektu RO/SO OP I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Zodpovedá za udržiavanie databázy, spravuje používateľské účty/prístupy, zálohuje a optimalizuje chod databázy, identifikuje problémové oblasti a navrhuje riešenia na ich odstránenie.                                                                                                                                                                    •Ako správca databáz vykonáva, prípadne riadi odborné činnosti v oblasti správy bázy dát a dátových súborov IKT._x000a_•Zabezpečuje inštaláciu, testovanie, oživovanie a nastavenie parametrov a následnú správu databázy vrátane prostriedkov a aplikácií na jej využitie. Zabezpečuje migráciu dát, generovanie výstupov, vytváranie relácií a spájanie dát, zálohovanie dát a správu používateľských účtov/prístupov._x000a_•Zabezpečuje monitoring prevádzky bázy dát, administratívne a dokumentačné práce súvisiace so správou databázy a riešenie neštandardných situácií. Poskytuje inštrukcie a poradenstvo používateľom databázových systémov._x000a_•Celý rozsah agendy rieši v súlade s legislatívou o dátových štandardoch SR – Vyhláškou 78/2020 Zz o dátových štandaroch.                                                                                                                                                                                                                                                                                •Zodpovedá za dodržanie princípov a štandardov na kybernertickú a IT bezpečnosť, za kontrolu a audit správnosti riešenia v oblasti bezpečnosti._x000a_•Koordinuje a riadi činnosť v oblasti bezpečnosti prevádzky IT, spolupracuje na projektoch, na rozvoji nástrojov a postupov k optimalizácii bezpečnostných systémov a opatrení.                                                                                                                                                                                •Stanovuje základné požiadavky, podmienky a štandardy pre oblasť bezpečnosti programov, systémov, databázy či siet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Spracováva a kontroluje príslušné interné predpisy a dohliada nad plnením týchto štandardov a predpiso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Kontroluje a riadi činnosť nad bezpečnostnými testami, bezpečnostnými incidentmi v prevádzke IT.      _x000a_Výpočet: 1 mesiac * ≈160 hodín za mesiac * sadzba na hodinu 24,291 € _x000a_Výpočet sadzby za 1 osobohodinu v EUR: 15,00*1,2*1,3495 = 24,291_x000a_Parametre výpočtu:_x000a_15,00 = sadzba základnej hrubej mzdy zamestnanca 15,00 EUR za hodinu (počítame s maximálnou možnou výškou 15 EUR)_x000a_1,2 = 20% odmena zo mzdy_x000a_1,3495 = 34,95% odvody za zamestnávateľa"/>
    <s v="Aktualizované hodnoty z VO a žiadosti o zmenu č.4"/>
    <m/>
    <m/>
    <n v="8646.42"/>
  </r>
  <r>
    <n v="119"/>
    <x v="2"/>
    <s v="Nasadenie riešenia"/>
    <x v="5"/>
    <x v="3"/>
    <s v="vlastník procesov objednávateľa (biznis vlastník) - junior"/>
    <m/>
    <x v="1"/>
    <s v="hod"/>
    <n v="24.29"/>
    <n v="346"/>
    <m/>
    <n v="8404.34"/>
    <n v="8404.34"/>
    <n v="0"/>
    <n v="1"/>
    <n v="8404.34"/>
    <n v="0"/>
    <m/>
    <s v="Hlavný partner"/>
    <s v="Skupina osôb v počte 12 ako vlatníci procesov._x000a_Výpočet: 1 mesiac * ≈ 28,8 hodín za mesiac * sadzba na hodinu 24,291 € _x000a_Výpočet sadzby za 1 osobohodinu v EUR: 15,00*1,2*1,3495 = 24,291_x000a_Parametre výpočtu:_x000a_15,00 = sadzba základnej hrubej mzdy zamestnanca 15,00 EUR za hodinu (počítame s maximálnou možnou výškou 15 EUR)_x000a_1,2 = 20% odmena zo mzdy_x000a_1,3495 = 34,95% odvody za zamestnávateľa"/>
    <s v="Aktualizované hodnoty z VO a žiadosti o zmenu č.4"/>
    <m/>
    <m/>
    <n v="0"/>
  </r>
  <r>
    <n v="120"/>
    <x v="2"/>
    <s v="Nasadenie riešenia"/>
    <x v="5"/>
    <x v="3"/>
    <s v="Manažér pre integrácie"/>
    <m/>
    <x v="1"/>
    <s v="hod"/>
    <n v="40.479999999999997"/>
    <n v="29"/>
    <m/>
    <n v="1173.92"/>
    <n v="1173.92"/>
    <n v="0"/>
    <n v="1"/>
    <n v="1173.92"/>
    <n v="7817.11"/>
    <m/>
    <s v="Hlavný partner"/>
    <s v="Vykonáva činnosti v súlade s popisom projektovej role vo Vyhláške č. 85/2020 Z. z. _x000a_Zodpovedá za riadenie integrácií v realizovanom projekte. V rámci projektu zabezpečuje podporu pri riadení, kontrole a audite procesu integrácie vyvíjaného SW riešenia s ostatnými IS tak, aby integrácia bola vykonaná podľa projektovej dokumentácie a podľa príslušných štandardov. Dohliada na kvalitu riadenia a kontrolu dokumentácie integračných rozhraní ako aj na testovanie integračných rozhraní vrátane. _x000a_IT SENIOR_x000a_Výpočet: 1 mesiac * ≈29,2 hodín za mesiac * sadzba na hodinu 40,485 € _x000a_Výpočet sadzby za 1 osobohodinu v EUR: 25,00*1,2*1,3495 = 40,485_x000a_Parametre výpočtu:_x000a_25,00 = sadzba základnej hrubej mzdy zamestnanca 25,00 EUR za hodinu (počítame s maximálnou možnou výškou 25 EUR)_x000a_1,2 = 20% odmena zo mzdy_x000a_1,3495 = 34,95% odvody za zamestnávateľa"/>
    <s v="Aktualizované hodnoty z VO a žiadosti o zmenu č.4"/>
    <m/>
    <m/>
    <n v="7817.11"/>
  </r>
  <r>
    <n v="121"/>
    <x v="2"/>
    <s v="Nasadenie riešenia"/>
    <x v="5"/>
    <x v="3"/>
    <s v="Kľúčový používateľ – end user - tester"/>
    <m/>
    <x v="1"/>
    <s v="hod"/>
    <n v="28.8"/>
    <n v="691"/>
    <m/>
    <n v="19900.8"/>
    <n v="19900.8"/>
    <n v="0"/>
    <n v="1"/>
    <n v="19900.8"/>
    <n v="0"/>
    <m/>
    <s v="Hlavný partner"/>
    <s v="Skupina osôb v počte 24 ako Koneční užívatelia - testeri - kumulovaná špecifická rola: v tejto etape vystupuje ako end user._x000a_Výpočet: 1 mesiac * ≈28,8 hodín za mesiac * sadzba na hodinu 24,291 € _x000a_Výpočet sadzby za 1 osobohodinu v EUR: 15,00*1,2*1,3495 = 24,291_x000a_Parametre výpočtu:_x000a_15,00 = sadzba základnej hrubej mzdy zamestnanca 15,00 EUR za hodinu (počítame s maximálnou možnou výškou 15 EUR)_x000a_1,2 = 20% odmena zo mzdy_x000a_1,3495 = 34,95% odvody za zamestnávateľa"/>
    <s v="Aktualizované hodnoty z VO a žiadosti o zmenu č.4"/>
    <m/>
    <m/>
    <n v="0"/>
  </r>
  <r>
    <n v="122"/>
    <x v="2"/>
    <s v="Nasadenie riešenia"/>
    <x v="5"/>
    <x v="3"/>
    <s v="Vlastník procesov - člen Riadiaceho výboru"/>
    <m/>
    <x v="1"/>
    <s v="hod"/>
    <n v="24.29"/>
    <n v="48"/>
    <m/>
    <n v="1165.92"/>
    <n v="1165.92"/>
    <n v="0"/>
    <n v="1"/>
    <n v="1165.92"/>
    <n v="0"/>
    <m/>
    <s v="Hlavný partner"/>
    <s v="Vlastník procesov - člen Riadiaceho výboru projektu._x000a_Výpočet: 1 mesiac * ≈ 48 hodín za mesiac * sadzba na hodinu 24,291 € _x000a_Výpočet sadzby za 1 osobohodinu v EUR: 15,00*1,2*1,3495 = 24,291_x000a_Parametre výpočtu:_x000a_15,00 = sadzba základnej hrubej mzdy zamestnanca 15,00 EUR za hodinu (počítame s maximálnou možnou výškou 15 EUR)_x000a_1,2 = 20% odmena zo mzdy_x000a_1,3495 = 34,95% odvody za zamestnávateľa"/>
    <s v="Aktualizované hodnoty z VO a žiadosti o zmenu č.4"/>
    <m/>
    <m/>
    <n v="0"/>
  </r>
  <r>
    <n v="123"/>
    <x v="2"/>
    <s v="Nasadenie riešenia"/>
    <x v="5"/>
    <x v="3"/>
    <s v="Kľúčový používateľ – end user - člen Riadiaceho výboru"/>
    <m/>
    <x v="1"/>
    <s v="hod"/>
    <n v="24.29"/>
    <n v="48"/>
    <m/>
    <n v="1165.92"/>
    <n v="1165.92"/>
    <n v="0"/>
    <n v="1"/>
    <n v="1165.92"/>
    <n v="0"/>
    <m/>
    <s v="Hlavný partner"/>
    <s v="Kľúčový používateľ – end user  - člen Riadiaceho výboru projektu._x000a_Výpočet: 1 mesiac * ≈ 48 hodín za mesiac * sadzba na hodinu 24,291 € _x000a_Výpočet sadzby za 1 osobohodinu v EUR: 15,00*1,2*1,3495 = 24,291_x000a_Parametre výpočtu:_x000a_15,00 = sadzba základnej hrubej mzdy zamestnanca 15,00 EUR za hodinu (počítame s maximálnou možnou výškou 15 EUR)_x000a_1,2 = 20% odmena zo mzdy_x000a_1,3495 = 34,95% odvody za zamestnávateľa"/>
    <s v="Aktualizované hodnoty z VO a žiadosti o zmenu č.4"/>
    <m/>
    <m/>
    <n v="0"/>
  </r>
  <r>
    <n v="124"/>
    <x v="2"/>
    <s v="Nasadenie riešenia"/>
    <x v="5"/>
    <x v="3"/>
    <s v="Dátový kurátor/Vlastník dát "/>
    <m/>
    <x v="1"/>
    <s v="hod"/>
    <n v="40.479999999999997"/>
    <n v="29"/>
    <m/>
    <n v="1173.92"/>
    <n v="1173.92"/>
    <n v="0"/>
    <n v="1"/>
    <n v="1173.92"/>
    <n v="4231.3900000000003"/>
    <m/>
    <s v="Hlavný partner"/>
    <s v="Vykonáva činnosti v súlade s popisom projektovej role vo Vyhláške č. 85/2020 Z. z. _x000a_Zodpovedá za riadenie migrácií dát v realizovanom projekte. V rámci projektu zabezpečuje podporu pri riadení, kontrole a audite procesu migrácí vyvíjaného SW riešenia s ostatnými IS tak, abymigrácia dát bola vykonaná podľa projektovej dokumentácie a podľa príslušných štandardov. Dohliada na kvalitu riadenia a kontrolu dokumentácie migračných tokov dát  ako aj na testovanie migračných rozhraní vrátane. _x000a_IT SENIOR_x000a_Výpočet: 1 mesiac * ≈29,2 hodín za mesiac * sadzba na hodinu 40,485 € _x000a_Výpočet sadzby za 1 osobohodinu v EUR: 25,00*1,2*1,3495 = 40,485_x000a_Parametre výpočtu:_x000a_25,00 = sadzba základnej hrubej mzdy zamestnanca 25,00 EUR za hodinu (počítame s maximálnou možnou výškou 25 EUR)_x000a_1,2 = 20% odmena zo mzdy_x000a_1,3495 = 34,95% odvody za zamestnávateľa"/>
    <s v="Aktualizované hodnoty z VO a žiadosti o zmenu č.4"/>
    <m/>
    <m/>
    <n v="4231.3900000000003"/>
  </r>
  <r>
    <s v="Riadenie projektu"/>
    <x v="1"/>
    <m/>
    <x v="0"/>
    <x v="1"/>
    <m/>
    <m/>
    <x v="0"/>
    <m/>
    <m/>
    <m/>
    <m/>
    <m/>
    <m/>
    <m/>
    <m/>
    <m/>
    <m/>
    <m/>
    <m/>
    <m/>
    <m/>
    <m/>
    <m/>
    <m/>
  </r>
  <r>
    <n v="125"/>
    <x v="3"/>
    <s v="Riadenie projektu"/>
    <x v="6"/>
    <x v="3"/>
    <s v="IT Projektový manažér "/>
    <m/>
    <x v="1"/>
    <s v="MD"/>
    <n v="24.291"/>
    <n v="3840"/>
    <m/>
    <n v="93277.440000000002"/>
    <n v="93277.440000000002"/>
    <n v="0"/>
    <n v="1"/>
    <n v="93277.440000000002"/>
    <n v="91021.43"/>
    <m/>
    <s v="Hlavný partner"/>
    <s v="Náklady zahŕňajú 100% mzdových nákladov projektového manažéra, počas 24 mesiacov trvania podporných aktivít. _x000a_Výpočet sadzby za 1 človekodeň v EUR: 15*1,2*1,3495. _x000a_Parametre výpočtu:_x000a_15 = sadzba základnej hrubej mzdy zamestnanca 15 EUR za hodinu_x000a_1,2 = 20% odmena zo mzdy_x000a_1,3495 = 34,95% odvody za zamestnávateľa_x000a_Výpočet mzdy je v súlade s aktuálnou mzdovou politikou SIŽP. V stĺpci &quot;G - Jednotková cena bez DPH (v EUR)“ je uvedená celková cena práce, vzhľadom k charakteru mzdových výdavkov. "/>
    <s v="Aktualizované hodnoty z VO a žiadosti o zmenu č.4"/>
    <n v="36408.572"/>
    <n v="36408.572"/>
    <n v="18204.286"/>
  </r>
  <r>
    <n v="126"/>
    <x v="3"/>
    <s v="Riadenie projektu"/>
    <x v="6"/>
    <x v="3"/>
    <s v="IT architekt - IT senior"/>
    <m/>
    <x v="1"/>
    <s v="hod"/>
    <n v="24.291"/>
    <n v="700"/>
    <m/>
    <n v="17003.7"/>
    <n v="17003.7"/>
    <n v="0"/>
    <n v="1"/>
    <n v="17003.7"/>
    <n v="18131.650000000001"/>
    <m/>
    <s v="Hlavný partner"/>
    <s v="Náklady zahŕňajú 100% mzdových nákladov IT architekta, počas 24 mesiacov trvania projektu. _x000a_Výpočet sadzby za 1 človekodeň v EUR: 15*1,2*1,3495. _x000a_Výpočet: 24 mesiacov * ≈700 hodín celkom * sadzba na hodinu 24,291 € _x000a_Výpočet sadzby za 1 osobohodinu v EUR: 15,00*1,2*1,3495 = 24,291_x000a_Parametre výpočtu:_x000a_15,00 = sadzba základnej hrubej mzdy zamestnanca 15,00 EUR za hodinu (počítame s maximálnou možnou výškou 15 EUR)_x000a_1,2 = 20% odmena zo mzdy_x000a_1,3495 = 34,95% odvody za zamestnávateľa"/>
    <s v="Aktualizované hodnoty z VO a žiadosti o zmenu č.4"/>
    <n v="7252.6600000000008"/>
    <n v="7252.6600000000008"/>
    <n v="3626.3300000000004"/>
  </r>
  <r>
    <n v="127"/>
    <x v="3"/>
    <s v="Riadenie projektu"/>
    <x v="6"/>
    <x v="3"/>
    <s v="Finančný manažér"/>
    <m/>
    <x v="1"/>
    <s v="hod"/>
    <n v="21.05"/>
    <n v="1536"/>
    <m/>
    <n v="32332.799999999999"/>
    <n v="32332.799999999999"/>
    <n v="0"/>
    <n v="1"/>
    <n v="32332.799999999999"/>
    <n v="27622.39"/>
    <m/>
    <s v="Hlavný partner"/>
    <s v="Náklady zahŕňajú 40% mzdových nákladov finančného manažéra počas 24mesiacov trvania podporných aktivít. _x000a_Výpočet sadzby za 1 človekodeň v EUR: 13*1,2*1,3495. _x000a_Parametre výpočtu:_x000a_13 = sadzba základnej hrubej mzdy zamestnanca 13 EUR za hodinu (nepočítame s maximálnou možnou výškou 15 EUR)_x000a__x000a_1,2 = 20% odmena zo mzdy_x000a_1,3495 = 34,95% odvody za zamestnávateľa_x000a_Výpočet mzdy je v súlade s aktuálnou mzdovou politikou SIŽP. V stĺpci &quot;G - Jednotková cena bez DPH (v EUR)“ je uvedená celková cena práce, vzhľadom k charakteru mzdových výdavkov. V nadväznosti na uvedené bol adekvátne upravený vzorec v stĺpci „I - Spolu s DPH (v EUR)“"/>
    <s v="Aktualizované hodnoty z VO a žiadosti o zmenu č.4"/>
    <n v="11048.956"/>
    <n v="11048.956"/>
    <n v="5524.4780000000001"/>
  </r>
  <r>
    <n v="128"/>
    <x v="3"/>
    <s v="Riadenie projektu"/>
    <x v="6"/>
    <x v="3"/>
    <s v="Administratívny pracovník (mzdár)"/>
    <m/>
    <x v="1"/>
    <s v="hod"/>
    <n v="19.43"/>
    <n v="384"/>
    <m/>
    <n v="7461.12"/>
    <n v="7461.12"/>
    <n v="0"/>
    <n v="1"/>
    <n v="7461.12"/>
    <n v="4990.9799999999996"/>
    <m/>
    <s v="Hlavný partner"/>
    <s v="Náklady zahŕňajú 10% mzdových nákladov administratívneho pracovníka, počas 24 mesiacov trvania projektu. _x000a_Výpočet sadzby za 1 človekodeň v EUR: 12*1,2*1,3495. _x000a_Parametre výpočtu:_x000a_10 = sadzba základnej hrubej mzdy zamestnanca 12 EUR za hodinu (nepočítame s maximálnou možnou výškou 15 EUR)_x000a_1,2 = 20% odmena zo mzdy_x000a_1,3495 = 34,95% odvody za zamestnávateľa_x000a_Výpočet mzdy je v súlade s aktuálnou mzdovou politikou SIŽP. V stĺpci &quot;G - Jednotková cena bez DPH (v EUR)“ je uvedená celková cena práce, vzhľadom k charakteru mzdových výdavkov. V nadväznosti na uvedené bol adekvátne upravený vzorec v stĺpci „I - Spolu s DPH (v EUR)“"/>
    <s v="Aktualizované hodnoty z VO a žiadosti o zmenu č.4"/>
    <n v="1996.3919999999998"/>
    <n v="1996.3919999999998"/>
    <n v="998.19599999999991"/>
  </r>
  <r>
    <n v="129"/>
    <x v="3"/>
    <s v="Riadenie projektu"/>
    <x v="6"/>
    <x v="3"/>
    <s v="Administratívny pracovník (ekonóm)"/>
    <m/>
    <x v="1"/>
    <s v="hod"/>
    <n v="19.43"/>
    <n v="384"/>
    <m/>
    <n v="7461.12"/>
    <n v="7461.12"/>
    <n v="0"/>
    <n v="1"/>
    <n v="7461.12"/>
    <n v="3642.41"/>
    <m/>
    <s v="Hlavný partner"/>
    <s v="Náklady zahŕňajú 10% mzdových nákladov administratívneho pracovníka, počas 24 mesiacov trvania projektu. _x000a_Výpočet sadzby za 1 človekodeň v EUR: 12*1,2*1,3495. _x000a_Parametre výpočtu:_x000a_10 = sadzba základnej hrubej mzdy zamestnanca 12 EUR za hodinu (nepočítame s maximálnou možnou výškou 15 EUR)_x000a_1,2 = 20% odmena zo mzdy_x000a_1,3495 = 34,95% odvody za zamestnávateľa_x000a_Výpočet mzdy je v súlade s aktuálnou mzdovou politikou SIŽP. V stĺpci &quot;G - Jednotková cena bez DPH (v EUR)“ je uvedená celková cena práce, vzhľadom k charakteru mzdových výdavkov. V nadväznosti na uvedené bol adekvátne upravený vzorec v stĺpci „I - Spolu s DPH (v EUR)“"/>
    <s v="Aktualizované hodnoty z VO a žiadosti o zmenu č.4"/>
    <n v="1456.9639999999999"/>
    <n v="1456.9639999999999"/>
    <n v="728.48199999999997"/>
  </r>
  <r>
    <n v="130"/>
    <x v="3"/>
    <s v="Riadenie projektu"/>
    <x v="6"/>
    <x v="3"/>
    <s v="Asistent"/>
    <m/>
    <x v="1"/>
    <s v="MD"/>
    <n v="22.67"/>
    <n v="544"/>
    <m/>
    <n v="12332.48"/>
    <n v="12332.48"/>
    <n v="0"/>
    <n v="1"/>
    <n v="12332.48"/>
    <n v="7525.92"/>
    <m/>
    <s v="Hlavný partner"/>
    <s v="Náklady zahŕňajú 100% mzdových nákladov asistenta, počas 24 mesiacov trvania podporných aktivít. _x000a_Výpočet sadzby za 1 človekodeň  v EUR: 14*1,2*1,3495. _x000a_Parametre výpočtu:_x000a_14 = sadzba základnej hrubej mzdy zamestnanca 14 EUR za hodinu (nepočítame s maximálnou možnou výškou 15 EUR)_x000a_1,2 = 20% odmena zo mzdy_x000a_1,3495 = 34,95% odvody za zamestnávateľa_x000a_Výpočet mzdy je v súlade s aktuálnou mzdovou politikou SIŽP. V stĺpci &quot;G - Jednotková cena bez DPH (v EUR)“ je uvedená celková cena práce, vzhľadom k charakteru mzdových výdavkov. V nadväznosti na uvedené bol adekvátne upravený vzorec v stĺpci „I - Spolu s DPH (v EUR)“"/>
    <s v="Aktualizované hodnoty z VO a žiadosti o zmenu č.4"/>
    <n v="3010.3679999999999"/>
    <n v="3010.3679999999999"/>
    <n v="1505.184"/>
  </r>
  <r>
    <n v="131"/>
    <x v="3"/>
    <s v="Riadenie projektu"/>
    <x v="6"/>
    <x v="4"/>
    <s v="Nákup počítačov, elektronických zariadení a príslušenstva"/>
    <m/>
    <x v="1"/>
    <s v="ks"/>
    <n v="1416.67"/>
    <n v="7"/>
    <m/>
    <n v="11900"/>
    <n v="11900"/>
    <n v="0"/>
    <n v="1"/>
    <n v="11900"/>
    <m/>
    <m/>
    <s v="Hlavný partner"/>
    <s v="Podľa poslednej PHZ vychádza priemer na nasledovnú sumu s DPH: 20 398,35 EUR. Nákup technického vybavenia pre zamestnancov (notebooky, monitory, klavesnice, dokovacie stanice, myši, príslušenstvo, vrátane kabeláže), iné potrebné technické vybavenie prislúchajúce k nákupu technického vybavenia pre zamestnancov v rámci realizácie projektu._x000a_V procese verejného obstarávania bude presne špecifikované čo bude obsahom danej zostavy. Zákazka s nízkou hodnotou podľa §117 zákona č. 343/2015 Z. z."/>
    <s v="Aktualizované hodnoty z VO a žiadosti o zmenu č.4"/>
    <n v="0"/>
    <m/>
    <m/>
  </r>
  <r>
    <n v="132"/>
    <x v="3"/>
    <s v="Riadenie projektu"/>
    <x v="6"/>
    <x v="5"/>
    <s v="Data projektor vrátane príslušenstva"/>
    <m/>
    <x v="1"/>
    <s v="ks"/>
    <n v="1191.9100000000001"/>
    <n v="1"/>
    <m/>
    <n v="1430.29"/>
    <n v="1430.29"/>
    <n v="0"/>
    <n v="1"/>
    <n v="1430.29"/>
    <m/>
    <m/>
    <s v="Hlavný partner"/>
    <s v="Podľa poslednej PHZ vychádza priemer vyššie ako bolo pôvodne uvedené v roku 2019. Nákup technického vybavenia pre zamestnancov (data projektor s plátnom vrátane príslušenstva a kabeláže), iné potrebné technické vybavenie prislúchajúce k nákupu technického vybavenia pre zamestnancov v rámci realizácie projektu."/>
    <s v="Aktualizované hodnoty z VO a žiadosti o zmenu č.4"/>
    <n v="0"/>
    <m/>
    <m/>
  </r>
  <r>
    <n v="133"/>
    <x v="3"/>
    <s v="Riadenie projektu"/>
    <x v="6"/>
    <x v="4"/>
    <s v="Sieťové multifunkčné zariadenie vrátane príslušenstva"/>
    <m/>
    <x v="1"/>
    <s v="ks"/>
    <n v="1416.67"/>
    <n v="1"/>
    <m/>
    <n v="1700"/>
    <n v="1700"/>
    <n v="0"/>
    <n v="1"/>
    <n v="1700"/>
    <m/>
    <m/>
    <s v="Hlavný partner"/>
    <s v="Podľa poslednej PHZ vychádza priemer vyššie ako bolo pôvodne uvedené v roku 2019.Zmena v prekvalifikovaní skupiny výdavkov. Nákup technického vybavenia pre zamestnancov (multifunčné zariadenie vrátane príslušenstva a kabeláže), iné potrebné technické vybavenie prislúchajúce k nákupu technického vybavenia pre zamestnancov v rámci realizácie projektu."/>
    <s v="Aktualizované hodnoty z VO a žiadosti o zmenu č.4"/>
    <n v="0"/>
    <m/>
    <m/>
  </r>
  <r>
    <n v="134"/>
    <x v="3"/>
    <s v="Riadenie projektu"/>
    <x v="6"/>
    <x v="3"/>
    <s v="Interný manažér riadenia kvality"/>
    <m/>
    <x v="1"/>
    <s v="MD"/>
    <n v="291.49"/>
    <n v="209"/>
    <m/>
    <n v="60921.41"/>
    <n v="60921.41"/>
    <n v="0"/>
    <n v="1"/>
    <n v="60921.41"/>
    <n v="19809.189999999999"/>
    <s v="N/A"/>
    <s v="Partner"/>
    <s v="Realizácia podporných aktivít projektu v oblasti Quality Assurance (QA) prostredníctvom interných zamestnancov MIRRI alebo spolupracovníkov MIRRI na základe dohôd o výkone prác mimo pracovného pomeru (výška MD je vypočítaná na základe max. výšky hodinovej mzdy 24 EUR a možnosti odmeny vo výške 20%, t.j. 24*7,5*1,2*1,3495)_x000a_Spôsob výpočtu - pre interné zdroje:_x000a_24 = sadzba 24 EUR za hodinu - výška MD je vypočítaná na základe výšky hodinovej mzdy 24 EUR (nepočítame s maximálnou výškou 25 EUR)_x000a_7,5 = 7,5 hodín z pracovného času (t.j. 8 hodín – 30 minút na obed)_x000a_1,2 = 20% odmena zo mzdy_x000a_1,3495 = 34,95% odvody za zamestnávateľa_x000a__x000a_Rozsah realizovaných aktívít QA (Riadenie kvality) je vymedzený dohodou hlavného partnera a partnera a v súlade s Prílohou 1. a Prílohou 3. k Vyhláške 85/2020 Zz. a v súlade so samotnou Vyhláškou 85/2020 Zz._x000a_Analýza výstupov (ŠU) Štúdie uskutočniteľnosti potrebných pre spracovanie SÚŤAŽNÝCH PODKLADOV_x000a_Reívzia, kontrola a oponentúra - SÚŤAŽNÝCH PODKLADOV (ZoD a opis predmetu zákazky diela), DOKUMENTÁCIE k VO a ZMLUVY s DODÁVATEĽOM_x000a_Reívzia, kontrola a oponentúra - k PLÁNOVANÝM VÝSTUPOM projektu voči schválenému obsahu výstupov v (ŠÚ) Štúdii uskutočniteľnosti_x000a_Revízia, kontrola a oponentúra - P_01 / I_01 - Projektový zámer (Project Brief)_x000a_Revízia, kontrola a oponentúra - P_01 - príloha / I_01 - príloha - Zoznam rizík (Risk Register)_x000a_Revízia, kontrola a oponentúra - P_02 / I_02 - Odôvodnenie projektu a katalóg požiadaviek (BC/CBA)_x000a_Revízia, kontrola a oponentúra - P_03 / I_03 - Prístup k projektu (Project Approach)_x000a_Revízia, kontrola a oponentúra - P_04 / I_04 - Plán projektu (Project Plan)_x000a_Revízia, kontrola a oponentúra - I_04 - Projektový inicálny dokument (PID)_x000a_Revízia, kontrola a oponentúra - I_04 - príloha - Akceptačné kritériá (Acceptance Criteria)_x000a_Revízia, kontrola a oponentúra - R1_1 - Detailný návrh riešenia (DNR)_x000a_Revízia, kontrola a oponentúra - R1_1 - Funkčný prototyp (Vyhláška 85/2020 Zz, §4, odsl 12.)_x000a_Revízia, kontrola a oponentúra - R1_2 - Plán testov_x000a_Revízia, kontrola a oponentúra - R3_1 - Vývoj a integrácia - špecializovaný produkt_x000a_Revízia, kontrola a oponentúra - R3_2 - FAT - Funkčné testovanie - špecializovaný produkt_x000a_Revízia, kontrola a oponentúra - R3_3 - Školenia personálu - špecializovaný produkt_x000a_Revízia, kontrola a oponentúra - R3_4 - Dokumentácia a príručky - špecializovaný produkt_x000a_Revízia, kontrola a oponentúra - R4_1 - Nasadenie do produkcie (vyhodnotenie) - špecializovaný produkt_x000a_Revízia, kontrola a oponentúra - R4_2 - Preskúšanie a akceptácia (vyhodnotenie) - špecializovaný produkt_x000a_Revízia, kontrola a oponentúra - D_01 - Manažérske správy, plány a odporúčania_x000a_Revízia, kontrola a oponentúra - M_01 - Plán Etapy / Plán Fázy _x000a_Revízia, kontrola a oponentúra - M_02 - Manažérske správy, reporty, zoznamy a požiadavky - priebežné _x000a_Revízia, kontrola a oponentúra - M_03 - Akceptačný protokol_x000a_Revízia, kontrola a oponentúra dokumentácie, procesov a priebehu projektu - M_04 - vykonanie AUDITU KVALITY projektu _x000a_AUDIT KVALITY zameraný manažérsku, špecializovanú dokumentáciu_x000a_Revízia, kontrola a oponentúra - M_01 - Plán Etapy / Plán Fázy _x000a_Revízia, kontrola a oponentúra - M_02 - Manažérske správy, reporty, zoznamy a požiadavky - priebežné _x000a_Revízia, kontrola a oponentúra - M_03 - Akceptačný protokol_x000a_Revízia, kontrola a oponentúra dokumentácie, procesov a priebehu projektu - M_04 - vykonanie AUDITU KVALITY projektu _x000a_AUDIT KVALITY zameraný manažérsku, špecializovanú dokumentáciu"/>
    <s v="Aktualizované hodnoty z VO a žiadosti o zmenu č.4"/>
    <n v="7923.6759999999995"/>
    <n v="7923.6759999999995"/>
    <n v="3961.8379999999997"/>
  </r>
  <r>
    <n v="135"/>
    <x v="3"/>
    <s v="Riadenie projektu"/>
    <x v="6"/>
    <x v="6"/>
    <s v="Externá podpora v rámci riadenia kvality - QA"/>
    <m/>
    <x v="1"/>
    <s v="MD"/>
    <n v="510"/>
    <n v="75"/>
    <m/>
    <n v="38250"/>
    <n v="38250"/>
    <n v="0"/>
    <n v="1"/>
    <n v="38250"/>
    <n v="18425.400000000001"/>
    <m/>
    <s v="Partner"/>
    <s v="Revízia, pripomienkovanie a pravidelná kontrola závislosti projektu voči pripravovaným a realizovaným projektom;_x000a_Revízia a oponentúra výsledkov testov nasadenia nového systému v zmysle plánu testovania. _x000a_Revízia a oponentúra testovacích scenárov. V prípade potreby vstup do testovacieho prostredia a vykonanie jednotlivých druhov testov v zmysle plánu testovania. _x000a_Revízia, kontrola a oponentúra - R3_2 - SIT - Systémové a integračné testovanie - špecializovaný produkt_x000a_Revízia, kontrola a oponentúra - R3_2 - Bezpečnostné testovanie (SW/HW/kybernetická bezpečnosť) - špecializovaný produkt_x000a_Revízia, kontrola a oponentúra - R3_2 - Používateľské testy funkčného používateľského rozhrania (UX/UI) - špecializovaný produkt_x000a_Revízia, kontrola a oponentúra - R3_2 - UAT - Užívateľské a akceptačné testovanie - špecializovaný produkt_x000a_Revízia fukčnosti systému pri prechode do produkčného  prostredia;_x000a_Revízia akceptačných protokolov;_x000a_Revízia Správy o ukončení projektu;_x000a_Revízia Správy o získaných poznatkoch;_x000a_Revízia záverečnej správy pre Riadiaci výbor projektu, Sponzora projektu"/>
    <s v="Aktualizované hodnoty z VO a žiadosti o zmenu č.4"/>
    <n v="7370.1600000000008"/>
    <n v="7370.1600000000008"/>
    <n v="3685.0800000000004"/>
  </r>
  <r>
    <s v="Publicita"/>
    <x v="1"/>
    <m/>
    <x v="0"/>
    <x v="1"/>
    <m/>
    <m/>
    <x v="0"/>
    <m/>
    <m/>
    <m/>
    <m/>
    <m/>
    <m/>
    <m/>
    <m/>
    <m/>
    <m/>
    <m/>
    <m/>
    <m/>
    <m/>
    <m/>
    <m/>
    <m/>
  </r>
  <r>
    <n v="136"/>
    <x v="3"/>
    <s v="Publicita a informovanosť"/>
    <x v="7"/>
    <x v="6"/>
    <s v="Externá podpora v rámci publicity -Príprava plánu komunikácie, krízovej komunikácie a jej ktualizácia, produkcia a výroba kampane"/>
    <m/>
    <x v="1"/>
    <s v="ks"/>
    <n v="9717"/>
    <n v="1"/>
    <m/>
    <n v="11660.4"/>
    <n v="11660.4"/>
    <n v="0"/>
    <n v="1"/>
    <n v="11660.4"/>
    <m/>
    <s v="N/A"/>
    <s v="Partner"/>
    <s v="Pre určenie predpokladanej hodnoty sme vychádzali z aktivít podobného charakteru na základe historických dát z projektov OPIS-u, porovnania cien z dostupných zmlúv v CRZ a z aktuálnych cien na trhu v predmetných segmentoch. _x000a_Detail aktivity: _x000a__kreatíva a produkcia/výroba jednotlivých častí kampane a aktualizácií"/>
    <s v="Aktualizované hodnoty z VO a žiadosti o zmenu č.4"/>
    <n v="0"/>
    <n v="0"/>
    <m/>
  </r>
  <r>
    <n v="137"/>
    <x v="3"/>
    <s v="Publicita a informovanosť"/>
    <x v="7"/>
    <x v="6"/>
    <s v="Externá podpora v rámci publicity - Príprava plánu komunikácie, krízovej komunikácie a jej ktualizácia, produkcia a výroba kampane; Realizácia podporných aktivít a nákup mediálneho priestoru kampane projektu ATL v oblasti Publicity"/>
    <m/>
    <x v="1"/>
    <s v="ks"/>
    <n v="27000"/>
    <n v="1"/>
    <m/>
    <n v="32400"/>
    <n v="32400"/>
    <n v="0"/>
    <n v="1"/>
    <n v="32400"/>
    <m/>
    <s v="N/A"/>
    <s v="Partner"/>
    <s v="Pre určenie predpokladanej hodnoty sme vychádzali z aktivít podobného charakteru na základe historických dát z projektov OPIS-u, porovnania cien z dostupných zmlúv v CRZ a z aktuálnych cien na trhu v predmetnoých segmentoch._x000a__x000a_Pred realizáciu samotných aktivít projektu sa bude prieskum trhu v zmysle value for money s očakávaným obsahom:_x000a__návrh optimálneho mediamixu_x000a__nákup medialneho priestoru v médiách ako napr. TV, Radio, online, online video_x000a__x000a_Poznámka: skratka ATL - Above The Line (nadlinková komunikácia) "/>
    <s v="Aktualizované hodnoty z VO a žiadosti o zmenu č.4"/>
    <n v="0"/>
    <n v="0"/>
    <m/>
  </r>
  <r>
    <n v="138"/>
    <x v="3"/>
    <s v="Publicita a informovanosť"/>
    <x v="7"/>
    <x v="3"/>
    <s v="Interný manažér pre riadenie publicity - Revízia mílnikov"/>
    <m/>
    <x v="1"/>
    <s v="MD"/>
    <n v="182.18"/>
    <n v="26"/>
    <m/>
    <n v="4736.68"/>
    <n v="4736.68"/>
    <n v="0"/>
    <n v="1"/>
    <n v="4736.68"/>
    <m/>
    <s v="N/A"/>
    <s v="Partner"/>
    <s v="Realizácia podporných aktivít projektu v oblasti Quality Assurance (QA) prostredníctvom interných zamestnancov MIRRI alebo spolupracovníkov MIRRI na základe dohôd o výkone prác mimo pracovného pomeru_x000a_Výpočet sadzby: 15*7,5*1,2*1,3495 = 182,18 EUR / človekodeň (t.j. MD rate)_x000a_15 = sadzba 15 EUR za hodinu_x000a_7,5 = 7,5 hodín z pracovného času (t.j. 8 hodín – 30 minút na obed)_x000a_1,2 = 20% odmena zo mzdy_x000a_1,3495 = 34,95 % odvody za zamestnávateľa_x000a__x000a__x000a_Detail aktivity:_x000a__pripravuje a predkladá plán strategickej komunikácie_x000a__pripravuje a koordinuje prípravu komunikačného plánu_x000a__realizuje implementáciu marketingovej stratégie v spolupráci s hlavným partnerom_x000a__pripravuje hlavný kreatívny koncept a jeho adaptáciu pre projekt - a to pre časť (ATL) nadlinkovej komunikácie (Nákup vysielacieho času, Produkcia rozhlasových spotov, Produkcia videa, Programovacie bannery, Nákup mediálneho online priestoru, Nákup mediálneho priestoru/print, Príprava vizuálu pre tlačovú reklamu a produkcia), digitálne médiá a sociálne siete_x000a__riadi aktivity nadlikovej komunikácie (TV, rádio, out of home, printové médiá), a to vrátane digitálnej komunikácie, výkonnostného marketingu a marketingu na sociálnych sieťach_x000a__pripravuje, realizuje a koordinuje PR aktivity pre časť (BTL) podlinkovej komunikácie_x000a__tvorí a pravidelne kontroluje dodržiavanie časového harmonogramu_x000a__kontroluje vzájomnú nadväznosť prebiehajúcich aktivít"/>
    <s v="Aktualizované hodnoty z VO a žiadosti o zmenu č.4"/>
    <n v="0"/>
    <n v="0"/>
    <m/>
  </r>
  <r>
    <n v="139"/>
    <x v="3"/>
    <s v="Publicita a informovanosť"/>
    <x v="7"/>
    <x v="6"/>
    <s v="Publicita - trvalo vysvetľujúca tabuľa - až po ukončení"/>
    <m/>
    <x v="1"/>
    <s v="ks"/>
    <n v="500"/>
    <n v="1"/>
    <m/>
    <n v="600"/>
    <n v="600"/>
    <n v="0"/>
    <n v="1"/>
    <n v="600"/>
    <m/>
    <s v="N/A"/>
    <s v="Hlavný partner"/>
    <s v="Zmena výšky podľa aktuálnej príručky pre prijímateľa. Výdavok žiadateľa. Jednotková cena vrátane počtu jednotiek vychádza zo skúseností získaných pri realizácii obdobných projektov, výdavok bude predmetom VO."/>
    <s v="Aktualizované hodnoty z VO a žiadosti o zmenu č.4"/>
    <n v="0"/>
    <n v="0"/>
    <m/>
  </r>
  <r>
    <n v="140"/>
    <x v="3"/>
    <s v="Publicita a informovanosť"/>
    <x v="7"/>
    <x v="6"/>
    <s v="Publicita - veľkoplošná reklamná tabuľa"/>
    <m/>
    <x v="1"/>
    <s v="ks"/>
    <n v="920"/>
    <n v="1"/>
    <m/>
    <n v="1104"/>
    <n v="1104"/>
    <n v="0"/>
    <n v="1"/>
    <n v="1104"/>
    <m/>
    <s v="N/A"/>
    <s v="Hlavný partner"/>
    <s v="Zmena výšky podľa aktuálnej príručky pre prijímateľa. Výdavok žiadateľa. Jednotková cena vrátane počtu jednotiek vychádza zo skúseností získaných pri realizácii obdobných projektov, výdavok bude predmetom VO."/>
    <s v="Aktualizované hodnoty z VO a žiadosti o zmenu č.4"/>
    <n v="0"/>
    <n v="0"/>
    <m/>
  </r>
  <r>
    <s v="SPOLU"/>
    <x v="1"/>
    <m/>
    <x v="0"/>
    <x v="1"/>
    <m/>
    <m/>
    <x v="0"/>
    <m/>
    <m/>
    <m/>
    <n v="0"/>
    <n v="5267324.8899999997"/>
    <n v="5267324.8899999997"/>
    <n v="0"/>
    <m/>
    <n v="5267324.8899999997"/>
    <m/>
    <m/>
    <m/>
    <m/>
    <m/>
    <n v="1403541.8479999995"/>
    <n v="3140784.9680000003"/>
    <n v="101648.79400000001"/>
  </r>
  <r>
    <s v="Dodatočné výdavky"/>
    <x v="1"/>
    <m/>
    <x v="0"/>
    <x v="1"/>
    <m/>
    <m/>
    <x v="0"/>
    <m/>
    <m/>
    <m/>
    <m/>
    <m/>
    <m/>
    <m/>
    <m/>
    <m/>
    <m/>
    <m/>
    <m/>
    <m/>
    <m/>
    <m/>
    <m/>
    <m/>
  </r>
  <r>
    <n v="141"/>
    <x v="3"/>
    <s v="Riadenie projektu"/>
    <x v="6"/>
    <x v="6"/>
    <s v="Aktualizácia CBA"/>
    <m/>
    <x v="1"/>
    <s v="ks"/>
    <n v="4800"/>
    <n v="1"/>
    <n v="4800"/>
    <n v="5760"/>
    <n v="5760"/>
    <n v="0"/>
    <n v="0"/>
    <n v="0"/>
    <n v="5760"/>
    <m/>
    <s v="Hlavný partner"/>
    <s v="Dodatočné služby pri ukončovaní projektu"/>
    <m/>
    <m/>
    <m/>
    <n v="576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B658D5-1153-4E40-976D-5E69276F9350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3:G33" firstHeaderRow="0" firstDataRow="1" firstDataCol="4"/>
  <pivotFields count="25">
    <pivotField compact="0" outline="0" showAll="0" defaultSubtotal="0"/>
    <pivotField axis="axisRow" compact="0" outline="0" showAll="0" defaultSubtotal="0">
      <items count="4">
        <item x="2"/>
        <item x="3"/>
        <item h="1" x="0"/>
        <item h="1" x="1"/>
      </items>
    </pivotField>
    <pivotField compact="0" outline="0" showAll="0" defaultSubtotal="0"/>
    <pivotField axis="axisRow" compact="0" outline="0" showAll="0" defaultSubtotal="0">
      <items count="8">
        <item x="1"/>
        <item x="3"/>
        <item x="5"/>
        <item x="6"/>
        <item x="4"/>
        <item x="0"/>
        <item x="2"/>
        <item x="7"/>
      </items>
    </pivotField>
    <pivotField axis="axisRow" compact="0" outline="0" showAll="0" defaultSubtotal="0">
      <items count="7">
        <item x="2"/>
        <item x="5"/>
        <item x="3"/>
        <item x="0"/>
        <item x="1"/>
        <item x="4"/>
        <item x="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5">
        <item x="4"/>
        <item x="2"/>
        <item x="3"/>
        <item x="0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howAll="0" defaultSubtotal="0"/>
    <pivotField compact="0" outline="0" subtotalTop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ubtotalTop="0" showAll="0" defaultSubtotal="0"/>
  </pivotFields>
  <rowFields count="4">
    <field x="1"/>
    <field x="7"/>
    <field x="4"/>
    <field x="3"/>
  </rowFields>
  <rowItems count="30">
    <i>
      <x/>
      <x/>
      <x/>
      <x/>
    </i>
    <i r="3">
      <x v="1"/>
    </i>
    <i r="3">
      <x v="2"/>
    </i>
    <i r="3">
      <x v="4"/>
    </i>
    <i r="1">
      <x v="1"/>
      <x/>
      <x/>
    </i>
    <i r="3">
      <x v="1"/>
    </i>
    <i r="3">
      <x v="2"/>
    </i>
    <i r="3">
      <x v="4"/>
    </i>
    <i r="2">
      <x v="5"/>
      <x v="6"/>
    </i>
    <i r="1">
      <x v="2"/>
      <x/>
      <x/>
    </i>
    <i r="3">
      <x v="1"/>
    </i>
    <i r="3">
      <x v="2"/>
    </i>
    <i r="3">
      <x v="4"/>
    </i>
    <i r="1">
      <x v="4"/>
      <x/>
      <x/>
    </i>
    <i r="3">
      <x v="1"/>
    </i>
    <i r="3">
      <x v="2"/>
    </i>
    <i r="3">
      <x v="4"/>
    </i>
    <i r="3">
      <x v="6"/>
    </i>
    <i r="2">
      <x v="2"/>
      <x/>
    </i>
    <i r="3">
      <x v="1"/>
    </i>
    <i r="3">
      <x v="2"/>
    </i>
    <i r="3">
      <x v="4"/>
    </i>
    <i r="2">
      <x v="5"/>
      <x v="6"/>
    </i>
    <i>
      <x v="1"/>
      <x v="4"/>
      <x v="1"/>
      <x v="3"/>
    </i>
    <i r="2">
      <x v="2"/>
      <x v="3"/>
    </i>
    <i r="3">
      <x v="7"/>
    </i>
    <i r="2">
      <x v="5"/>
      <x v="3"/>
    </i>
    <i r="2">
      <x v="6"/>
      <x v="3"/>
    </i>
    <i r="3"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Výdavok Rok 1 " fld="22" baseField="4" baseItem="0" numFmtId="169"/>
    <dataField name="Sum of Výdavok Rok 2" fld="23" baseField="4" baseItem="0" numFmtId="169"/>
    <dataField name="Sum of Výdavok Rok 3" fld="24" baseField="3" baseItem="6" numFmtId="16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C101:D110" firstHeaderRow="1" firstDataRow="1" firstDataCol="1"/>
  <pivotFields count="36">
    <pivotField showAll="0"/>
    <pivotField axis="axisRow" showAll="0">
      <items count="15">
        <item m="1" x="8"/>
        <item x="1"/>
        <item x="4"/>
        <item m="1" x="13"/>
        <item x="5"/>
        <item m="1" x="11"/>
        <item m="1" x="10"/>
        <item x="6"/>
        <item x="7"/>
        <item m="1" x="12"/>
        <item x="3"/>
        <item m="1" x="9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9">
    <i>
      <x v="1"/>
    </i>
    <i>
      <x v="2"/>
    </i>
    <i>
      <x v="4"/>
    </i>
    <i>
      <x v="7"/>
    </i>
    <i>
      <x v="8"/>
    </i>
    <i>
      <x v="10"/>
    </i>
    <i>
      <x v="12"/>
    </i>
    <i>
      <x v="13"/>
    </i>
    <i t="grand">
      <x/>
    </i>
  </rowItems>
  <colItems count="1">
    <i/>
  </colItems>
  <dataFields count="1">
    <dataField name="Sum of Suma externé (s DPH)" fld="35" baseField="0" baseItem="0"/>
  </dataFields>
  <formats count="6">
    <format dxfId="60">
      <pivotArea type="all" dataOnly="0" outline="0" fieldPosition="0"/>
    </format>
    <format dxfId="59">
      <pivotArea outline="0" collapsedLevelsAreSubtotals="1" fieldPosition="0"/>
    </format>
    <format dxfId="58">
      <pivotArea field="1" type="button" dataOnly="0" labelOnly="1" outline="0" axis="axisRow" fieldPosition="0"/>
    </format>
    <format dxfId="57">
      <pivotArea dataOnly="0" labelOnly="1" fieldPosition="0">
        <references count="1">
          <reference field="1" count="0"/>
        </references>
      </pivotArea>
    </format>
    <format dxfId="56">
      <pivotArea dataOnly="0" labelOnly="1" grandRow="1" outline="0" fieldPosition="0"/>
    </format>
    <format dxfId="55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46" dT="2024-06-27T13:59:56.68" personId="{5F7AB024-DC8C-448C-B726-C2CC6F7F83A2}" id="{59F3AEC6-BE2E-4590-B70A-A5960AE87347}">
    <text xml:space="preserve">Pripočítaný vplyv prínosu z umožnenia práce na ďiaľku v rámci prípravy na kontrolu - ref. záložka Faktory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H7" dT="2023-03-01T06:29:54.84" personId="{5F7AB024-DC8C-448C-B726-C2CC6F7F83A2}" id="{45BDD029-02AB-46C2-BFD0-CAA1E9BDAAFB}">
    <text>Zohľadnené KPI zvýšenia počtu zistení v TOBE z 34% na 40%</text>
  </threadedComment>
  <threadedComment ref="AI7" dT="2023-03-01T06:30:04.90" personId="{5F7AB024-DC8C-448C-B726-C2CC6F7F83A2}" id="{F15B7CCD-4908-476B-B899-55E10BBCDD16}">
    <text>Zohľadnené KPI zvýšenia počtu zistení v TOBE z 34% na 40%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hyperlink" Target="http://statdat.statistics.sk/cognosext/cgi-bin/cognos.cgi?b_action=cognosViewer&amp;ui.action=run&amp;ui.object=storeID(%22i2F54CEABC9464EB6B9D47D7B63C86C2B%22)&amp;ui.name=Priemern%c3%a1%20mesa%c4%8dn%c3%a1%20mzda%20pod%c4%bea%20odvetv%c3%ad%20%5bpr0205qs%5d&amp;run.outputFormat=&amp;run.prompt=true&amp;cv.header=false&amp;ui.backURL=%2fcognosext%2fcps4%2fportlets%2fcommon%2fclose.html" TargetMode="External"/><Relationship Id="rId1" Type="http://schemas.openxmlformats.org/officeDocument/2006/relationships/hyperlink" Target="http://statdat.statistics.sk/cognosext/cgi-bin/cognos.cgi?b_action=cognosViewer&amp;ui.action=run&amp;ui.object=storeID(%22i2F54CEABC9464EB6B9D47D7B63C86C2B%22)&amp;ui.name=Priemern%c3%a1%20mesa%c4%8dn%c3%a1%20mzda%20pod%c4%bea%20odvetv%c3%ad%20%5bpr0205qs%5d&amp;run.outputFormat=&amp;run.prompt=true&amp;cv.header=false&amp;ui.backURL=%2fcognosext%2fcps4%2fportlets%2fcommon%2fclose.html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Relationship Id="rId4" Type="http://schemas.microsoft.com/office/2017/10/relationships/threadedComment" Target="../threadedComments/threadedComment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R46"/>
  <sheetViews>
    <sheetView showGridLines="0" topLeftCell="A16" zoomScaleNormal="100" workbookViewId="0">
      <selection activeCell="C47" sqref="C47"/>
    </sheetView>
  </sheetViews>
  <sheetFormatPr defaultColWidth="8.85546875" defaultRowHeight="15" x14ac:dyDescent="0.25"/>
  <cols>
    <col min="2" max="2" width="11.5703125" customWidth="1"/>
    <col min="4" max="4" width="6.42578125" customWidth="1"/>
    <col min="6" max="6" width="7.5703125" customWidth="1"/>
    <col min="7" max="7" width="12.42578125" customWidth="1"/>
    <col min="8" max="8" width="6" customWidth="1"/>
    <col min="9" max="9" width="14.42578125" customWidth="1"/>
  </cols>
  <sheetData>
    <row r="1" spans="1:18" x14ac:dyDescent="0.25">
      <c r="A1" s="36"/>
      <c r="B1" s="36"/>
      <c r="C1" s="36"/>
      <c r="D1" s="36"/>
      <c r="E1" s="36"/>
      <c r="F1" s="36"/>
      <c r="G1" s="36"/>
      <c r="H1" s="36"/>
      <c r="I1" s="36"/>
      <c r="J1" s="263"/>
      <c r="K1" s="264"/>
      <c r="L1" s="264"/>
      <c r="M1" s="264"/>
      <c r="N1" s="264"/>
      <c r="O1" s="264"/>
      <c r="P1" s="264"/>
      <c r="Q1" s="264"/>
      <c r="R1" s="264"/>
    </row>
    <row r="2" spans="1:18" x14ac:dyDescent="0.25">
      <c r="A2" s="36"/>
      <c r="B2" s="36"/>
      <c r="C2" s="36"/>
      <c r="D2" s="36"/>
      <c r="E2" s="36"/>
      <c r="F2" s="36"/>
      <c r="G2" s="36"/>
      <c r="H2" s="36"/>
      <c r="I2" s="36"/>
      <c r="J2" s="264"/>
      <c r="K2" s="264"/>
      <c r="L2" s="264"/>
      <c r="M2" s="264"/>
      <c r="N2" s="264"/>
      <c r="O2" s="264"/>
      <c r="P2" s="264"/>
      <c r="Q2" s="264"/>
      <c r="R2" s="264"/>
    </row>
    <row r="3" spans="1:18" ht="1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264"/>
      <c r="K3" s="264"/>
      <c r="L3" s="264"/>
      <c r="M3" s="264"/>
      <c r="N3" s="264"/>
      <c r="O3" s="264"/>
      <c r="P3" s="264"/>
      <c r="Q3" s="264"/>
      <c r="R3" s="264"/>
    </row>
    <row r="4" spans="1:18" ht="15" customHeight="1" x14ac:dyDescent="0.25">
      <c r="A4" s="36"/>
      <c r="B4" s="36"/>
      <c r="C4" s="36"/>
      <c r="D4" s="36"/>
      <c r="E4" s="36"/>
      <c r="F4" s="36"/>
      <c r="G4" s="36"/>
      <c r="H4" s="36"/>
      <c r="I4" s="36"/>
      <c r="J4" s="264"/>
      <c r="K4" s="264"/>
      <c r="L4" s="264"/>
      <c r="M4" s="264"/>
      <c r="N4" s="264"/>
      <c r="O4" s="264"/>
      <c r="P4" s="264"/>
      <c r="Q4" s="264"/>
      <c r="R4" s="264"/>
    </row>
    <row r="5" spans="1:18" x14ac:dyDescent="0.25">
      <c r="A5" s="36"/>
      <c r="B5" s="36"/>
      <c r="C5" s="36"/>
      <c r="D5" s="36"/>
      <c r="E5" s="36"/>
      <c r="F5" s="36"/>
      <c r="G5" s="36"/>
      <c r="H5" s="36"/>
      <c r="I5" s="36"/>
      <c r="J5" s="264"/>
      <c r="K5" s="264"/>
      <c r="L5" s="264"/>
      <c r="M5" s="264"/>
      <c r="N5" s="264"/>
      <c r="O5" s="264"/>
      <c r="P5" s="264"/>
      <c r="Q5" s="264"/>
      <c r="R5" s="264"/>
    </row>
    <row r="6" spans="1:18" ht="62.1" customHeight="1" x14ac:dyDescent="0.5">
      <c r="A6" s="1216" t="s">
        <v>111</v>
      </c>
      <c r="B6" s="1216"/>
      <c r="C6" s="1216"/>
      <c r="D6" s="1216"/>
      <c r="E6" s="1216"/>
      <c r="F6" s="1216"/>
      <c r="G6" s="1216"/>
      <c r="H6" s="1216"/>
      <c r="I6" s="1216"/>
      <c r="J6" s="264"/>
      <c r="K6" s="264"/>
      <c r="L6" s="264"/>
      <c r="M6" s="264"/>
      <c r="N6" s="264"/>
      <c r="O6" s="264"/>
      <c r="P6" s="264"/>
      <c r="Q6" s="264"/>
      <c r="R6" s="264"/>
    </row>
    <row r="7" spans="1:18" ht="18.75" customHeight="1" x14ac:dyDescent="0.3">
      <c r="A7" s="1230" t="s">
        <v>65</v>
      </c>
      <c r="B7" s="1230"/>
      <c r="C7" s="1230"/>
      <c r="D7" s="1230"/>
      <c r="E7" s="1230"/>
      <c r="F7" s="1230"/>
      <c r="G7" s="1230"/>
      <c r="H7" s="1230"/>
      <c r="I7" s="1230"/>
      <c r="J7" s="264"/>
      <c r="K7" s="264"/>
      <c r="L7" s="264"/>
      <c r="M7" s="264"/>
      <c r="N7" s="264"/>
      <c r="O7" s="264"/>
      <c r="P7" s="264"/>
      <c r="Q7" s="264"/>
      <c r="R7" s="264"/>
    </row>
    <row r="8" spans="1:18" x14ac:dyDescent="0.25">
      <c r="A8" s="1217" t="s">
        <v>60</v>
      </c>
      <c r="B8" s="1217"/>
      <c r="C8" s="1217"/>
      <c r="D8" s="1217"/>
      <c r="E8" s="1217"/>
      <c r="F8" s="1217"/>
      <c r="G8" s="1217"/>
      <c r="H8" s="1217"/>
      <c r="I8" s="1217"/>
      <c r="J8" s="264"/>
      <c r="K8" s="264"/>
      <c r="L8" s="264"/>
      <c r="M8" s="264"/>
      <c r="N8" s="264"/>
      <c r="O8" s="264"/>
      <c r="P8" s="264"/>
      <c r="Q8" s="264"/>
      <c r="R8" s="264"/>
    </row>
    <row r="9" spans="1:18" ht="15" customHeight="1" x14ac:dyDescent="0.25">
      <c r="A9" s="1217"/>
      <c r="B9" s="1217"/>
      <c r="C9" s="1217"/>
      <c r="D9" s="1217"/>
      <c r="E9" s="1217"/>
      <c r="F9" s="1217"/>
      <c r="G9" s="1217"/>
      <c r="H9" s="1217"/>
      <c r="I9" s="1217"/>
      <c r="J9" s="264"/>
      <c r="K9" s="264"/>
      <c r="L9" s="264"/>
      <c r="M9" s="264"/>
      <c r="N9" s="264"/>
      <c r="O9" s="264"/>
      <c r="P9" s="264"/>
      <c r="Q9" s="264"/>
      <c r="R9" s="264"/>
    </row>
    <row r="10" spans="1:18" ht="48.6" customHeight="1" x14ac:dyDescent="0.25">
      <c r="A10" s="1217"/>
      <c r="B10" s="1217"/>
      <c r="C10" s="1217"/>
      <c r="D10" s="1217"/>
      <c r="E10" s="1217"/>
      <c r="F10" s="1217"/>
      <c r="G10" s="1217"/>
      <c r="H10" s="1217"/>
      <c r="I10" s="1217"/>
      <c r="J10" s="264"/>
      <c r="K10" s="264"/>
      <c r="L10" s="264"/>
      <c r="M10" s="264"/>
      <c r="N10" s="264"/>
      <c r="O10" s="264"/>
      <c r="P10" s="264"/>
      <c r="Q10" s="264"/>
      <c r="R10" s="264"/>
    </row>
    <row r="11" spans="1:18" ht="15" customHeight="1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264"/>
      <c r="K11" s="264"/>
      <c r="L11" s="264"/>
      <c r="M11" s="264"/>
      <c r="N11" s="264"/>
      <c r="O11" s="264"/>
      <c r="P11" s="264"/>
      <c r="Q11" s="264"/>
      <c r="R11" s="264"/>
    </row>
    <row r="12" spans="1:18" x14ac:dyDescent="0.25">
      <c r="A12" s="36"/>
      <c r="B12" s="36"/>
      <c r="C12" s="36"/>
      <c r="D12" s="36"/>
      <c r="E12" s="36"/>
      <c r="F12" s="36"/>
      <c r="G12" s="36"/>
      <c r="H12" s="36"/>
      <c r="I12" s="36"/>
      <c r="J12" s="264"/>
      <c r="K12" s="264"/>
      <c r="L12" s="264"/>
      <c r="M12" s="264"/>
      <c r="N12" s="264"/>
      <c r="O12" s="264"/>
      <c r="P12" s="264"/>
      <c r="Q12" s="264"/>
      <c r="R12" s="264"/>
    </row>
    <row r="13" spans="1:18" x14ac:dyDescent="0.25">
      <c r="A13" s="36"/>
      <c r="B13" s="36"/>
      <c r="C13" s="36"/>
      <c r="D13" s="36"/>
      <c r="E13" s="36"/>
      <c r="F13" s="36"/>
      <c r="G13" s="36"/>
      <c r="H13" s="36"/>
      <c r="I13" s="36"/>
      <c r="J13" s="264"/>
      <c r="K13" s="264"/>
      <c r="L13" s="264"/>
      <c r="M13" s="264"/>
      <c r="N13" s="264"/>
      <c r="O13" s="264"/>
      <c r="P13" s="264"/>
      <c r="Q13" s="264"/>
      <c r="R13" s="264"/>
    </row>
    <row r="14" spans="1:18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264"/>
      <c r="K14" s="264"/>
      <c r="L14" s="264"/>
      <c r="M14" s="264"/>
      <c r="N14" s="264"/>
      <c r="O14" s="264"/>
      <c r="P14" s="264"/>
      <c r="Q14" s="264"/>
      <c r="R14" s="264"/>
    </row>
    <row r="15" spans="1:18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264"/>
      <c r="K15" s="264"/>
      <c r="L15" s="264"/>
      <c r="M15" s="264"/>
      <c r="N15" s="264"/>
      <c r="O15" s="264"/>
      <c r="P15" s="264"/>
      <c r="Q15" s="264"/>
      <c r="R15" s="264"/>
    </row>
    <row r="16" spans="1:18" x14ac:dyDescent="0.25">
      <c r="B16" s="36"/>
      <c r="C16" s="36"/>
      <c r="D16" s="36"/>
      <c r="E16" s="36"/>
      <c r="F16" s="36"/>
      <c r="G16" s="36"/>
      <c r="H16" s="36"/>
      <c r="I16" s="36"/>
      <c r="J16" s="264"/>
      <c r="K16" s="264"/>
      <c r="L16" s="264"/>
      <c r="M16" s="264"/>
      <c r="N16" s="264"/>
      <c r="O16" s="264"/>
      <c r="P16" s="264"/>
      <c r="Q16" s="264"/>
      <c r="R16" s="264"/>
    </row>
    <row r="17" spans="1:18" x14ac:dyDescent="0.25">
      <c r="B17" s="36"/>
      <c r="C17" s="36"/>
      <c r="D17" s="36"/>
      <c r="E17" s="36"/>
      <c r="F17" s="36"/>
      <c r="G17" s="36"/>
      <c r="H17" s="36"/>
      <c r="I17" s="36"/>
      <c r="J17" s="264"/>
      <c r="K17" s="264"/>
      <c r="L17" s="264"/>
      <c r="M17" s="264"/>
      <c r="N17" s="264"/>
      <c r="O17" s="264"/>
      <c r="P17" s="264"/>
      <c r="Q17" s="264"/>
      <c r="R17" s="264"/>
    </row>
    <row r="18" spans="1:18" ht="15.75" thickBot="1" x14ac:dyDescent="0.3">
      <c r="B18" s="36"/>
      <c r="C18" s="36"/>
      <c r="D18" s="36"/>
      <c r="E18" s="36"/>
      <c r="F18" s="36"/>
      <c r="G18" s="36"/>
      <c r="H18" s="36"/>
      <c r="I18" s="36"/>
      <c r="J18" s="264"/>
      <c r="K18" s="264"/>
      <c r="L18" s="264"/>
      <c r="M18" s="264"/>
      <c r="N18" s="264"/>
      <c r="O18" s="264"/>
      <c r="P18" s="264"/>
      <c r="Q18" s="264"/>
      <c r="R18" s="264"/>
    </row>
    <row r="19" spans="1:18" ht="16.5" x14ac:dyDescent="0.25">
      <c r="A19" s="1220" t="s">
        <v>112</v>
      </c>
      <c r="B19" s="1221"/>
      <c r="C19" s="1222" t="s">
        <v>304</v>
      </c>
      <c r="D19" s="1222"/>
      <c r="E19" s="1222"/>
      <c r="F19" s="1222"/>
      <c r="G19" s="1222"/>
      <c r="H19" s="1222"/>
      <c r="I19" s="1223"/>
      <c r="J19" s="264"/>
      <c r="K19" s="264"/>
      <c r="L19" s="264"/>
      <c r="M19" s="264"/>
      <c r="N19" s="264"/>
      <c r="O19" s="264"/>
      <c r="P19" s="264"/>
      <c r="Q19" s="264"/>
      <c r="R19" s="264"/>
    </row>
    <row r="20" spans="1:18" ht="16.5" x14ac:dyDescent="0.25">
      <c r="A20" s="1212" t="s">
        <v>115</v>
      </c>
      <c r="B20" s="1213"/>
      <c r="C20" s="1218"/>
      <c r="D20" s="1218"/>
      <c r="E20" s="1218"/>
      <c r="F20" s="1218"/>
      <c r="G20" s="1218"/>
      <c r="H20" s="1218"/>
      <c r="I20" s="1219"/>
      <c r="J20" s="264"/>
      <c r="K20" s="264"/>
      <c r="L20" s="264"/>
      <c r="M20" s="264"/>
      <c r="N20" s="264"/>
      <c r="O20" s="264"/>
      <c r="P20" s="264"/>
      <c r="Q20" s="264"/>
      <c r="R20" s="264"/>
    </row>
    <row r="21" spans="1:18" ht="16.5" x14ac:dyDescent="0.25">
      <c r="A21" s="1212" t="s">
        <v>114</v>
      </c>
      <c r="B21" s="1213"/>
      <c r="C21" s="1218"/>
      <c r="D21" s="1218"/>
      <c r="E21" s="1218"/>
      <c r="F21" s="1218"/>
      <c r="G21" s="1218"/>
      <c r="H21" s="1218"/>
      <c r="I21" s="1219"/>
      <c r="J21" s="264"/>
      <c r="K21" s="264"/>
      <c r="L21" s="264"/>
      <c r="M21" s="264"/>
      <c r="N21" s="264"/>
      <c r="O21" s="264"/>
      <c r="P21" s="264"/>
      <c r="Q21" s="264"/>
      <c r="R21" s="264"/>
    </row>
    <row r="22" spans="1:18" ht="14.45" customHeight="1" x14ac:dyDescent="0.25">
      <c r="A22" s="1212" t="s">
        <v>51</v>
      </c>
      <c r="B22" s="1213"/>
      <c r="C22" s="1218" t="s">
        <v>305</v>
      </c>
      <c r="D22" s="1218"/>
      <c r="E22" s="1218"/>
      <c r="F22" s="1218"/>
      <c r="G22" s="1218"/>
      <c r="H22" s="1218"/>
      <c r="I22" s="1219"/>
      <c r="J22" s="264"/>
      <c r="K22" s="264"/>
      <c r="L22" s="264"/>
      <c r="M22" s="264"/>
      <c r="N22" s="264"/>
      <c r="O22" s="264"/>
      <c r="P22" s="264"/>
      <c r="Q22" s="264"/>
      <c r="R22" s="264"/>
    </row>
    <row r="23" spans="1:18" ht="16.5" x14ac:dyDescent="0.25">
      <c r="A23" s="1212" t="s">
        <v>52</v>
      </c>
      <c r="B23" s="1213"/>
      <c r="C23" s="1218" t="s">
        <v>306</v>
      </c>
      <c r="D23" s="1218"/>
      <c r="E23" s="1218"/>
      <c r="F23" s="1218"/>
      <c r="G23" s="1218"/>
      <c r="H23" s="1218"/>
      <c r="I23" s="1219"/>
      <c r="J23" s="264"/>
      <c r="K23" s="264"/>
      <c r="L23" s="264"/>
      <c r="M23" s="264"/>
      <c r="N23" s="264"/>
      <c r="O23" s="264"/>
      <c r="P23" s="264"/>
      <c r="Q23" s="264"/>
      <c r="R23" s="264"/>
    </row>
    <row r="24" spans="1:18" ht="16.5" x14ac:dyDescent="0.25">
      <c r="A24" s="1212" t="s">
        <v>53</v>
      </c>
      <c r="B24" s="1213"/>
      <c r="C24" s="1218" t="s">
        <v>307</v>
      </c>
      <c r="D24" s="1218"/>
      <c r="E24" s="1218"/>
      <c r="F24" s="1218"/>
      <c r="G24" s="1218"/>
      <c r="H24" s="1218"/>
      <c r="I24" s="1219"/>
      <c r="J24" s="264"/>
      <c r="K24" s="264"/>
      <c r="L24" s="264"/>
      <c r="M24" s="264"/>
      <c r="N24" s="264"/>
      <c r="O24" s="264"/>
      <c r="P24" s="264"/>
      <c r="Q24" s="264"/>
      <c r="R24" s="264"/>
    </row>
    <row r="25" spans="1:18" ht="16.5" x14ac:dyDescent="0.25">
      <c r="A25" s="1212" t="s">
        <v>54</v>
      </c>
      <c r="B25" s="1213"/>
      <c r="C25" s="1218" t="s">
        <v>308</v>
      </c>
      <c r="D25" s="1218"/>
      <c r="E25" s="1218"/>
      <c r="F25" s="1218"/>
      <c r="G25" s="1218"/>
      <c r="H25" s="1218"/>
      <c r="I25" s="1219"/>
      <c r="J25" s="264"/>
      <c r="K25" s="264"/>
      <c r="L25" s="264"/>
      <c r="M25" s="264"/>
      <c r="N25" s="264"/>
      <c r="O25" s="264"/>
      <c r="P25" s="264"/>
      <c r="Q25" s="264"/>
      <c r="R25" s="264"/>
    </row>
    <row r="26" spans="1:18" ht="16.5" x14ac:dyDescent="0.25">
      <c r="A26" s="1212" t="s">
        <v>55</v>
      </c>
      <c r="B26" s="1213"/>
      <c r="C26" s="1214" t="s">
        <v>309</v>
      </c>
      <c r="D26" s="1214"/>
      <c r="E26" s="1214"/>
      <c r="F26" s="1214"/>
      <c r="G26" s="1214"/>
      <c r="H26" s="1214"/>
      <c r="I26" s="1215"/>
      <c r="J26" s="264"/>
      <c r="K26" s="264"/>
      <c r="L26" s="264"/>
      <c r="M26" s="264"/>
      <c r="N26" s="264"/>
      <c r="O26" s="264"/>
      <c r="P26" s="264"/>
      <c r="Q26" s="264"/>
      <c r="R26" s="264"/>
    </row>
    <row r="27" spans="1:18" ht="19.350000000000001" customHeight="1" x14ac:dyDescent="0.25">
      <c r="A27" s="1212" t="s">
        <v>56</v>
      </c>
      <c r="B27" s="1213"/>
      <c r="C27" s="1231" t="s">
        <v>334</v>
      </c>
      <c r="D27" s="1231"/>
      <c r="E27" s="1231"/>
      <c r="F27" s="1231"/>
      <c r="G27" s="1231"/>
      <c r="H27" s="1231"/>
      <c r="I27" s="1232"/>
      <c r="J27" s="264"/>
      <c r="K27" s="264"/>
      <c r="L27" s="264"/>
      <c r="M27" s="264"/>
      <c r="N27" s="264"/>
      <c r="O27" s="264"/>
      <c r="P27" s="264"/>
      <c r="Q27" s="264"/>
      <c r="R27" s="264"/>
    </row>
    <row r="28" spans="1:18" ht="33" customHeight="1" thickBot="1" x14ac:dyDescent="0.3">
      <c r="A28" s="1233" t="s">
        <v>57</v>
      </c>
      <c r="B28" s="1234"/>
      <c r="C28" s="1235"/>
      <c r="D28" s="1235"/>
      <c r="E28" s="1235"/>
      <c r="F28" s="1235"/>
      <c r="G28" s="1235"/>
      <c r="H28" s="1235"/>
      <c r="I28" s="1236"/>
      <c r="J28" s="264"/>
      <c r="K28" s="264"/>
      <c r="L28" s="264"/>
      <c r="M28" s="264"/>
      <c r="N28" s="264"/>
      <c r="O28" s="264"/>
      <c r="P28" s="264"/>
      <c r="Q28" s="264"/>
      <c r="R28" s="264"/>
    </row>
    <row r="29" spans="1:18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264"/>
      <c r="K29" s="264"/>
      <c r="L29" s="264"/>
      <c r="M29" s="264"/>
      <c r="N29" s="264"/>
      <c r="O29" s="264"/>
      <c r="P29" s="264"/>
      <c r="Q29" s="264"/>
      <c r="R29" s="264"/>
    </row>
    <row r="30" spans="1:18" ht="15.75" thickBot="1" x14ac:dyDescent="0.3">
      <c r="A30" s="1237" t="s">
        <v>61</v>
      </c>
      <c r="B30" s="1237"/>
      <c r="C30" s="1237"/>
      <c r="D30" s="1237"/>
      <c r="E30" s="1237"/>
      <c r="F30" s="1237"/>
      <c r="G30" s="1237"/>
      <c r="H30" s="1237"/>
      <c r="I30" s="1237"/>
      <c r="J30" s="264"/>
      <c r="K30" s="264"/>
      <c r="L30" s="264"/>
      <c r="M30" s="264"/>
      <c r="N30" s="264"/>
      <c r="O30" s="264"/>
      <c r="P30" s="264"/>
      <c r="Q30" s="264"/>
      <c r="R30" s="264"/>
    </row>
    <row r="31" spans="1:18" ht="14.45" customHeight="1" x14ac:dyDescent="0.25">
      <c r="A31" s="1238" t="s">
        <v>58</v>
      </c>
      <c r="B31" s="1239"/>
      <c r="C31" s="1224" t="s">
        <v>59</v>
      </c>
      <c r="D31" s="1224"/>
      <c r="E31" s="1243" t="s">
        <v>62</v>
      </c>
      <c r="F31" s="1243"/>
      <c r="G31" s="1226" t="s">
        <v>63</v>
      </c>
      <c r="H31" s="1226"/>
      <c r="I31" s="1228" t="s">
        <v>64</v>
      </c>
      <c r="J31" s="264"/>
      <c r="K31" s="264"/>
      <c r="L31" s="264"/>
      <c r="M31" s="264"/>
      <c r="N31" s="264"/>
      <c r="O31" s="264"/>
      <c r="P31" s="264"/>
      <c r="Q31" s="264"/>
      <c r="R31" s="264"/>
    </row>
    <row r="32" spans="1:18" ht="15.75" thickBot="1" x14ac:dyDescent="0.3">
      <c r="A32" s="1240"/>
      <c r="B32" s="1241"/>
      <c r="C32" s="1242"/>
      <c r="D32" s="1242"/>
      <c r="E32" s="1244"/>
      <c r="F32" s="1244"/>
      <c r="G32" s="1227"/>
      <c r="H32" s="1227"/>
      <c r="I32" s="1229"/>
      <c r="J32" s="264"/>
      <c r="K32" s="264"/>
      <c r="L32" s="264"/>
      <c r="M32" s="264"/>
      <c r="N32" s="264"/>
      <c r="O32" s="264"/>
      <c r="P32" s="264"/>
      <c r="Q32" s="264"/>
      <c r="R32" s="264"/>
    </row>
    <row r="33" spans="1:18" x14ac:dyDescent="0.25">
      <c r="A33" s="1224"/>
      <c r="B33" s="1224"/>
      <c r="C33" s="1224"/>
      <c r="D33" s="1224"/>
      <c r="E33" s="1224"/>
      <c r="F33" s="1224"/>
      <c r="G33" s="1224"/>
      <c r="H33" s="1224"/>
      <c r="I33" s="1224"/>
      <c r="J33" s="264"/>
      <c r="K33" s="264"/>
      <c r="L33" s="264"/>
      <c r="M33" s="264"/>
      <c r="N33" s="264"/>
      <c r="O33" s="264"/>
      <c r="P33" s="264"/>
      <c r="Q33" s="264"/>
      <c r="R33" s="264"/>
    </row>
    <row r="34" spans="1:18" x14ac:dyDescent="0.25">
      <c r="A34" s="1225"/>
      <c r="B34" s="1225"/>
      <c r="C34" s="1225"/>
      <c r="D34" s="1225"/>
      <c r="E34" s="1225"/>
      <c r="F34" s="1225"/>
      <c r="G34" s="1225"/>
      <c r="H34" s="1225"/>
      <c r="I34" s="1225"/>
      <c r="J34" s="264"/>
      <c r="K34" s="264"/>
      <c r="L34" s="264"/>
      <c r="M34" s="264"/>
      <c r="N34" s="264"/>
      <c r="O34" s="264"/>
      <c r="P34" s="264"/>
      <c r="Q34" s="264"/>
      <c r="R34" s="264"/>
    </row>
    <row r="35" spans="1:18" x14ac:dyDescent="0.25">
      <c r="A35" s="1225"/>
      <c r="B35" s="1225"/>
      <c r="C35" s="1225"/>
      <c r="D35" s="1225"/>
      <c r="E35" s="1225"/>
      <c r="F35" s="1225"/>
      <c r="G35" s="1225"/>
      <c r="H35" s="1225"/>
      <c r="I35" s="1225"/>
      <c r="J35" s="264"/>
      <c r="K35" s="264"/>
      <c r="L35" s="264"/>
      <c r="M35" s="264"/>
      <c r="N35" s="264"/>
      <c r="O35" s="264"/>
      <c r="P35" s="264"/>
      <c r="Q35" s="264"/>
      <c r="R35" s="264"/>
    </row>
    <row r="36" spans="1:18" x14ac:dyDescent="0.25">
      <c r="A36" s="82"/>
      <c r="B36" s="82"/>
      <c r="C36" s="36"/>
      <c r="D36" s="36"/>
      <c r="E36" s="36"/>
      <c r="F36" s="36"/>
      <c r="G36" s="36"/>
      <c r="H36" s="36"/>
      <c r="I36" s="36"/>
      <c r="J36" s="264"/>
      <c r="K36" s="264"/>
      <c r="L36" s="264"/>
      <c r="M36" s="264"/>
      <c r="N36" s="264"/>
      <c r="O36" s="264"/>
      <c r="P36" s="264"/>
      <c r="Q36" s="264"/>
      <c r="R36" s="264"/>
    </row>
    <row r="37" spans="1:18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264"/>
      <c r="K37" s="264"/>
      <c r="L37" s="264"/>
      <c r="M37" s="264"/>
      <c r="N37" s="264"/>
      <c r="O37" s="264"/>
      <c r="P37" s="264"/>
      <c r="Q37" s="264"/>
      <c r="R37" s="264"/>
    </row>
    <row r="38" spans="1:18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264"/>
      <c r="K38" s="264"/>
      <c r="L38" s="264"/>
      <c r="M38" s="264"/>
      <c r="N38" s="264"/>
      <c r="O38" s="264"/>
      <c r="P38" s="264"/>
      <c r="Q38" s="264"/>
      <c r="R38" s="264"/>
    </row>
    <row r="39" spans="1:18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264"/>
      <c r="K39" s="264"/>
      <c r="L39" s="264"/>
      <c r="M39" s="264"/>
      <c r="N39" s="264"/>
      <c r="O39" s="264"/>
      <c r="P39" s="264"/>
      <c r="Q39" s="264"/>
      <c r="R39" s="264"/>
    </row>
    <row r="40" spans="1:18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264"/>
      <c r="K40" s="264"/>
      <c r="L40" s="264"/>
      <c r="M40" s="264"/>
      <c r="N40" s="264"/>
      <c r="O40" s="264"/>
      <c r="P40" s="264"/>
      <c r="Q40" s="264"/>
      <c r="R40" s="264"/>
    </row>
    <row r="41" spans="1:18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264"/>
      <c r="K41" s="264"/>
      <c r="L41" s="264"/>
      <c r="M41" s="264"/>
      <c r="N41" s="264"/>
      <c r="O41" s="264"/>
      <c r="P41" s="264"/>
      <c r="Q41" s="264"/>
      <c r="R41" s="264"/>
    </row>
    <row r="42" spans="1:18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264"/>
      <c r="K42" s="264"/>
      <c r="L42" s="264"/>
      <c r="M42" s="264"/>
      <c r="N42" s="264"/>
      <c r="O42" s="264"/>
      <c r="P42" s="264"/>
      <c r="Q42" s="264"/>
      <c r="R42" s="264"/>
    </row>
    <row r="43" spans="1:18" x14ac:dyDescent="0.25">
      <c r="A43" s="36"/>
      <c r="B43" s="36"/>
      <c r="C43" s="36"/>
      <c r="D43" s="36"/>
      <c r="E43" s="36"/>
      <c r="F43" s="36"/>
      <c r="G43" s="36"/>
      <c r="H43" s="36"/>
      <c r="I43" s="36"/>
    </row>
    <row r="44" spans="1:18" x14ac:dyDescent="0.25">
      <c r="A44" s="36"/>
      <c r="B44" s="36"/>
      <c r="C44" s="36"/>
      <c r="D44" s="36"/>
      <c r="E44" s="36"/>
      <c r="F44" s="36"/>
      <c r="G44" s="36"/>
      <c r="H44" s="36"/>
      <c r="I44" s="36"/>
    </row>
    <row r="45" spans="1:18" x14ac:dyDescent="0.25">
      <c r="A45" s="36"/>
      <c r="B45" s="36"/>
      <c r="C45" s="36"/>
      <c r="D45" s="36"/>
      <c r="E45" s="36"/>
      <c r="F45" s="36"/>
      <c r="G45" s="36"/>
      <c r="H45" s="36"/>
      <c r="I45" s="36"/>
    </row>
    <row r="46" spans="1:18" x14ac:dyDescent="0.25">
      <c r="A46" s="36"/>
      <c r="B46" s="36"/>
      <c r="C46" s="36"/>
      <c r="D46" s="36"/>
      <c r="E46" s="36"/>
      <c r="F46" s="36"/>
      <c r="G46" s="36"/>
      <c r="H46" s="36"/>
      <c r="I46" s="36"/>
    </row>
  </sheetData>
  <mergeCells count="30">
    <mergeCell ref="A33:I35"/>
    <mergeCell ref="G31:H32"/>
    <mergeCell ref="I31:I32"/>
    <mergeCell ref="A7:I7"/>
    <mergeCell ref="A27:B27"/>
    <mergeCell ref="C27:I27"/>
    <mergeCell ref="A28:B28"/>
    <mergeCell ref="C28:I28"/>
    <mergeCell ref="A30:I30"/>
    <mergeCell ref="A31:B32"/>
    <mergeCell ref="C31:D32"/>
    <mergeCell ref="E31:F32"/>
    <mergeCell ref="A24:B24"/>
    <mergeCell ref="C24:I24"/>
    <mergeCell ref="A25:B25"/>
    <mergeCell ref="C25:I25"/>
    <mergeCell ref="A26:B26"/>
    <mergeCell ref="C26:I26"/>
    <mergeCell ref="A6:I6"/>
    <mergeCell ref="A8:I10"/>
    <mergeCell ref="A22:B22"/>
    <mergeCell ref="C22:I22"/>
    <mergeCell ref="A23:B23"/>
    <mergeCell ref="C23:I23"/>
    <mergeCell ref="A19:B19"/>
    <mergeCell ref="C19:I19"/>
    <mergeCell ref="A20:B20"/>
    <mergeCell ref="C20:I20"/>
    <mergeCell ref="A21:B21"/>
    <mergeCell ref="C21:I2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21"/>
  <sheetViews>
    <sheetView showGridLines="0" zoomScaleNormal="100" workbookViewId="0">
      <pane ySplit="2" topLeftCell="A3" activePane="bottomLeft" state="frozen"/>
      <selection activeCell="C47" sqref="C47"/>
      <selection pane="bottomLeft" activeCell="C47" sqref="C47"/>
    </sheetView>
  </sheetViews>
  <sheetFormatPr defaultColWidth="8.85546875" defaultRowHeight="15" x14ac:dyDescent="0.25"/>
  <cols>
    <col min="1" max="1" width="25.42578125" customWidth="1"/>
    <col min="2" max="2" width="79" bestFit="1" customWidth="1"/>
    <col min="3" max="3" width="70" bestFit="1" customWidth="1"/>
  </cols>
  <sheetData>
    <row r="1" spans="1:3" ht="19.5" thickBot="1" x14ac:dyDescent="0.35">
      <c r="A1" s="235" t="s">
        <v>213</v>
      </c>
    </row>
    <row r="2" spans="1:3" ht="15.75" thickBot="1" x14ac:dyDescent="0.3">
      <c r="A2" s="243" t="s">
        <v>235</v>
      </c>
      <c r="B2" s="244" t="s">
        <v>236</v>
      </c>
      <c r="C2" s="245" t="s">
        <v>241</v>
      </c>
    </row>
    <row r="3" spans="1:3" x14ac:dyDescent="0.25">
      <c r="A3" s="259" t="s">
        <v>214</v>
      </c>
      <c r="B3" s="246" t="s">
        <v>238</v>
      </c>
      <c r="C3" s="209" t="s">
        <v>237</v>
      </c>
    </row>
    <row r="4" spans="1:3" x14ac:dyDescent="0.25">
      <c r="A4" s="260" t="s">
        <v>215</v>
      </c>
      <c r="B4" s="247" t="s">
        <v>239</v>
      </c>
      <c r="C4" s="248" t="s">
        <v>240</v>
      </c>
    </row>
    <row r="5" spans="1:3" x14ac:dyDescent="0.25">
      <c r="A5" s="260" t="s">
        <v>216</v>
      </c>
      <c r="B5" s="247" t="s">
        <v>242</v>
      </c>
      <c r="C5" s="248" t="s">
        <v>240</v>
      </c>
    </row>
    <row r="6" spans="1:3" x14ac:dyDescent="0.25">
      <c r="A6" s="260" t="s">
        <v>198</v>
      </c>
      <c r="B6" s="247" t="s">
        <v>243</v>
      </c>
      <c r="C6" s="207" t="s">
        <v>245</v>
      </c>
    </row>
    <row r="7" spans="1:3" x14ac:dyDescent="0.25">
      <c r="A7" s="260" t="s">
        <v>217</v>
      </c>
      <c r="B7" s="247" t="s">
        <v>244</v>
      </c>
      <c r="C7" s="248" t="s">
        <v>240</v>
      </c>
    </row>
    <row r="8" spans="1:3" x14ac:dyDescent="0.25">
      <c r="A8" s="260" t="s">
        <v>218</v>
      </c>
      <c r="B8" s="247" t="s">
        <v>246</v>
      </c>
      <c r="C8" s="207" t="s">
        <v>247</v>
      </c>
    </row>
    <row r="9" spans="1:3" x14ac:dyDescent="0.25">
      <c r="A9" s="260" t="s">
        <v>219</v>
      </c>
      <c r="B9" s="247" t="s">
        <v>248</v>
      </c>
      <c r="C9" s="248" t="s">
        <v>240</v>
      </c>
    </row>
    <row r="10" spans="1:3" x14ac:dyDescent="0.25">
      <c r="A10" s="260" t="s">
        <v>220</v>
      </c>
      <c r="B10" s="247" t="s">
        <v>249</v>
      </c>
      <c r="C10" s="207" t="s">
        <v>247</v>
      </c>
    </row>
    <row r="11" spans="1:3" x14ac:dyDescent="0.25">
      <c r="A11" s="260" t="s">
        <v>221</v>
      </c>
      <c r="B11" s="247" t="s">
        <v>250</v>
      </c>
      <c r="C11" s="207" t="s">
        <v>247</v>
      </c>
    </row>
    <row r="12" spans="1:3" x14ac:dyDescent="0.25">
      <c r="A12" s="260" t="s">
        <v>222</v>
      </c>
      <c r="B12" s="247" t="s">
        <v>251</v>
      </c>
      <c r="C12" s="207" t="s">
        <v>247</v>
      </c>
    </row>
    <row r="13" spans="1:3" x14ac:dyDescent="0.25">
      <c r="A13" s="260" t="s">
        <v>223</v>
      </c>
      <c r="B13" s="247" t="s">
        <v>252</v>
      </c>
      <c r="C13" s="207" t="s">
        <v>247</v>
      </c>
    </row>
    <row r="14" spans="1:3" x14ac:dyDescent="0.25">
      <c r="A14" s="260" t="s">
        <v>224</v>
      </c>
      <c r="B14" s="247" t="s">
        <v>279</v>
      </c>
      <c r="C14" s="207" t="s">
        <v>253</v>
      </c>
    </row>
    <row r="15" spans="1:3" x14ac:dyDescent="0.25">
      <c r="A15" s="260" t="s">
        <v>278</v>
      </c>
      <c r="B15" s="247" t="s">
        <v>280</v>
      </c>
      <c r="C15" s="207" t="s">
        <v>247</v>
      </c>
    </row>
    <row r="16" spans="1:3" x14ac:dyDescent="0.25">
      <c r="A16" s="260" t="s">
        <v>229</v>
      </c>
      <c r="B16" s="247" t="s">
        <v>254</v>
      </c>
      <c r="C16" s="207" t="s">
        <v>255</v>
      </c>
    </row>
    <row r="17" spans="1:3" x14ac:dyDescent="0.25">
      <c r="A17" s="260" t="s">
        <v>230</v>
      </c>
      <c r="B17" s="247" t="s">
        <v>256</v>
      </c>
      <c r="C17" s="207" t="s">
        <v>257</v>
      </c>
    </row>
    <row r="18" spans="1:3" ht="30" x14ac:dyDescent="0.25">
      <c r="A18" s="260" t="s">
        <v>231</v>
      </c>
      <c r="B18" s="258" t="s">
        <v>258</v>
      </c>
      <c r="C18" s="261" t="s">
        <v>259</v>
      </c>
    </row>
    <row r="19" spans="1:3" x14ac:dyDescent="0.25">
      <c r="A19" s="260" t="s">
        <v>232</v>
      </c>
      <c r="B19" s="247" t="s">
        <v>260</v>
      </c>
      <c r="C19" s="207" t="s">
        <v>261</v>
      </c>
    </row>
    <row r="20" spans="1:3" x14ac:dyDescent="0.25">
      <c r="A20" s="260" t="s">
        <v>233</v>
      </c>
      <c r="B20" s="247" t="s">
        <v>262</v>
      </c>
      <c r="C20" s="207" t="s">
        <v>264</v>
      </c>
    </row>
    <row r="21" spans="1:3" x14ac:dyDescent="0.25">
      <c r="A21" s="260" t="s">
        <v>234</v>
      </c>
      <c r="B21" s="247" t="s">
        <v>263</v>
      </c>
      <c r="C21" s="207" t="s">
        <v>264</v>
      </c>
    </row>
  </sheetData>
  <sheetProtection password="C3D8" sheet="1" objects="1" scenarios="1"/>
  <hyperlinks>
    <hyperlink ref="A3" location="Sumarizácia!R1C1" display="Sumarizácia" xr:uid="{00000000-0004-0000-0100-000000000000}"/>
    <hyperlink ref="A4" location="'CBA - Agendové IS'!R1C1" display="CBA" xr:uid="{00000000-0004-0000-0100-000001000000}"/>
    <hyperlink ref="A5" location="'Analyza citlivosti - AgendovéIS'!R1C1" display="Analyza citlivosti" xr:uid="{00000000-0004-0000-0100-000002000000}"/>
    <hyperlink ref="A6" location="'Prínosy - Agendové IS'!R1C1" display="Prínosy" xr:uid="{00000000-0004-0000-0100-000003000000}"/>
    <hyperlink ref="A7" location="'Výdavky - Agendové IS'!R1C1" display="Výdavky" xr:uid="{00000000-0004-0000-0100-000004000000}"/>
    <hyperlink ref="A8" location="'Parametre - Agendové IS'!R1C1" display="Parametre" xr:uid="{00000000-0004-0000-0100-000005000000}"/>
    <hyperlink ref="A9" location="TCO!R1C1" display="TCO" xr:uid="{00000000-0004-0000-0100-000006000000}"/>
    <hyperlink ref="A10" location="'TCO Alt. 1 - SW'!R1C1" display="TCO Alt. 1 - SW" xr:uid="{00000000-0004-0000-0100-000007000000}"/>
    <hyperlink ref="A11" location="'TCO Alt. 1 - HW'!R1C1" display="TCO Alt. 1 - HW" xr:uid="{00000000-0004-0000-0100-000008000000}"/>
    <hyperlink ref="A12" location="'TCO Alt. 2 - SW'!R1C1" display="TCO Alt. 2 - SW" xr:uid="{00000000-0004-0000-0100-000009000000}"/>
    <hyperlink ref="A13" location="'TCO Alt. 2 - HW'!R1C1" display="TCO Alt. 2 - HW" xr:uid="{00000000-0004-0000-0100-00000A000000}"/>
    <hyperlink ref="A14" location="'Rozpočet - vývoj Aplikácií'!R1C1" display="Rozpočet - vývoj aplikácii" xr:uid="{00000000-0004-0000-0100-00000B000000}"/>
    <hyperlink ref="A16" location="'Slepý rozpočet'!R1C1" display="Slepý rozpočet" xr:uid="{00000000-0004-0000-0100-00000C000000}"/>
    <hyperlink ref="A17" location="Faktory!R1C1" display="Faktory" xr:uid="{00000000-0004-0000-0100-00000D000000}"/>
    <hyperlink ref="A18" location="'Meranie prínosov'!R1C1" display="Meranie prínosov" xr:uid="{00000000-0004-0000-0100-00000E000000}"/>
    <hyperlink ref="A19" location="'Procesné mapy'!R1C1" display="Procesné mapy" xr:uid="{00000000-0004-0000-0100-00000F000000}"/>
    <hyperlink ref="A20" location="'Procesy - AS IS'!R1C1" display="Procesy AS IS" xr:uid="{00000000-0004-0000-0100-000010000000}"/>
    <hyperlink ref="A21" location="'Procesy - TO BE'!R1C1" display="Procesy TO BE" xr:uid="{00000000-0004-0000-0100-000011000000}"/>
    <hyperlink ref="A15" location="'Rozpočet - HW a licencie'!R1C1" display="Rozpočet - HW a licencie" xr:uid="{00000000-0004-0000-0100-000012000000}"/>
  </hyperlink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V28"/>
  <sheetViews>
    <sheetView showGridLines="0" zoomScaleNormal="100" workbookViewId="0">
      <pane ySplit="3" topLeftCell="A4" activePane="bottomLeft" state="frozen"/>
      <selection activeCell="C47" sqref="C47"/>
      <selection pane="bottomLeft" activeCell="C47" sqref="C47"/>
    </sheetView>
  </sheetViews>
  <sheetFormatPr defaultColWidth="9.140625" defaultRowHeight="15" x14ac:dyDescent="0.25"/>
  <cols>
    <col min="2" max="2" width="9.140625" customWidth="1"/>
    <col min="3" max="3" width="32" customWidth="1"/>
    <col min="4" max="6" width="13.42578125" bestFit="1" customWidth="1"/>
    <col min="7" max="7" width="11.5703125" bestFit="1" customWidth="1"/>
    <col min="8" max="8" width="19.85546875" customWidth="1"/>
    <col min="9" max="9" width="13.85546875" bestFit="1" customWidth="1"/>
    <col min="11" max="12" width="3.85546875" customWidth="1"/>
    <col min="15" max="15" width="32.42578125" customWidth="1"/>
    <col min="16" max="17" width="15.42578125" bestFit="1" customWidth="1"/>
    <col min="18" max="18" width="13.42578125" customWidth="1"/>
    <col min="19" max="19" width="11.42578125" customWidth="1"/>
    <col min="20" max="20" width="12.5703125" customWidth="1"/>
    <col min="21" max="21" width="15.42578125" bestFit="1" customWidth="1"/>
    <col min="22" max="22" width="12.5703125" bestFit="1" customWidth="1"/>
  </cols>
  <sheetData>
    <row r="1" spans="1:22" ht="21.75" customHeight="1" thickBot="1" x14ac:dyDescent="0.3">
      <c r="A1" s="1245" t="s">
        <v>296</v>
      </c>
      <c r="B1" s="1245"/>
      <c r="C1" s="1245"/>
      <c r="D1" s="409"/>
      <c r="E1" s="409"/>
      <c r="F1" s="409"/>
      <c r="G1" s="409"/>
      <c r="H1" s="409"/>
      <c r="I1" s="409"/>
      <c r="J1" s="409"/>
      <c r="K1" s="409"/>
      <c r="L1" s="409"/>
      <c r="M1" s="1245" t="s">
        <v>297</v>
      </c>
      <c r="N1" s="1245"/>
      <c r="O1" s="1245"/>
    </row>
    <row r="2" spans="1:22" ht="61.35" customHeight="1" x14ac:dyDescent="0.25">
      <c r="A2" s="1246"/>
      <c r="B2" s="1247"/>
      <c r="C2" s="1248"/>
      <c r="D2" s="484" t="str">
        <f>'Parametre - Agendové IS'!G1</f>
        <v xml:space="preserve">Interný agendový informačný systém KSED	</v>
      </c>
      <c r="E2" s="484" t="str">
        <f>'Parametre - Agendové IS'!J1</f>
        <v>Mobilný Agendový informačný systém KSED</v>
      </c>
      <c r="F2" s="484" t="str">
        <f>'Parametre - Agendové IS'!M1</f>
        <v>Verejný portál KSED</v>
      </c>
      <c r="G2" s="485" t="str">
        <f>'Parametre - Agendové IS'!P1</f>
        <v>Mobilná aplikácia Podnety</v>
      </c>
      <c r="H2" s="487" t="s">
        <v>287</v>
      </c>
      <c r="I2" s="486" t="s">
        <v>103</v>
      </c>
      <c r="M2" s="1246"/>
      <c r="N2" s="1247"/>
      <c r="O2" s="1248"/>
      <c r="P2" s="487" t="str">
        <f>'Rozpočet - vývoj Aplikácií'!$C$4</f>
        <v>Modul Integrované povoľovanie</v>
      </c>
      <c r="Q2" s="487" t="str">
        <f>'Rozpočet - vývoj Aplikácií'!$C$60</f>
        <v>2. Mobilný Agendový informačný systém KSED</v>
      </c>
      <c r="R2" s="487" t="str">
        <f>'Rozpočet - vývoj Aplikácií'!$C$66</f>
        <v>3. Verejný portál KSED</v>
      </c>
      <c r="S2" s="487" t="str">
        <f>'Rozpočet - vývoj Aplikácií'!$C$73</f>
        <v>4. Mobilná aplikácia Podnety</v>
      </c>
      <c r="T2" s="487" t="s">
        <v>287</v>
      </c>
      <c r="U2" s="501" t="s">
        <v>103</v>
      </c>
    </row>
    <row r="3" spans="1:22" x14ac:dyDescent="0.25">
      <c r="A3" s="265" t="s">
        <v>301</v>
      </c>
      <c r="B3" s="266"/>
      <c r="C3" s="267"/>
      <c r="D3" s="268">
        <f>D4+D5+D9+D13+D14</f>
        <v>5628103.1292544464</v>
      </c>
      <c r="E3" s="268">
        <f>E4+E5+E9+E13+E14</f>
        <v>1453198.4569402547</v>
      </c>
      <c r="F3" s="268">
        <f>F4+F5+F9+F13+F14</f>
        <v>100539.73583097148</v>
      </c>
      <c r="G3" s="269">
        <f>G4+G5+G9+G13+G14</f>
        <v>11355.635954551473</v>
      </c>
      <c r="H3" s="268">
        <f>H5+H9+H13+H14</f>
        <v>0</v>
      </c>
      <c r="I3" s="410">
        <f>SUM(D3:H3)</f>
        <v>7193196.9579802239</v>
      </c>
      <c r="M3" s="265" t="s">
        <v>301</v>
      </c>
      <c r="N3" s="266"/>
      <c r="O3" s="267"/>
      <c r="P3" s="268">
        <f>P4+P5+P9+P13+P14</f>
        <v>6403101.5255695181</v>
      </c>
      <c r="Q3" s="268">
        <f>Q4+Q5+Q9+Q13+Q14</f>
        <v>1699040.0218639397</v>
      </c>
      <c r="R3" s="268">
        <f>R4+R5+R9+R13+R14</f>
        <v>105916.4467118524</v>
      </c>
      <c r="S3" s="269">
        <f>S4+S5+S9+S13+S14</f>
        <v>11947.891854690668</v>
      </c>
      <c r="T3" s="268">
        <f>T5+T9+T13+T14</f>
        <v>0</v>
      </c>
      <c r="U3" s="410">
        <f>SUM(P3:T3)</f>
        <v>8220005.8860000009</v>
      </c>
    </row>
    <row r="4" spans="1:22" x14ac:dyDescent="0.25">
      <c r="A4" s="270"/>
      <c r="B4" s="271" t="s">
        <v>68</v>
      </c>
      <c r="C4" s="272"/>
      <c r="D4" s="427">
        <f>'Parametre - Agendové IS'!I127+NPV(Faktory!$D$5,'Parametre - Agendové IS'!I128:I136)</f>
        <v>0</v>
      </c>
      <c r="E4" s="427">
        <f>'Parametre - Agendové IS'!L127+NPV(Faktory!$D$5,'Parametre - Agendové IS'!L128:L136)</f>
        <v>0</v>
      </c>
      <c r="F4" s="427">
        <f>'Parametre - Agendové IS'!O127+NPV(Faktory!$D$5,'Parametre - Agendové IS'!O128:O136)</f>
        <v>0</v>
      </c>
      <c r="G4" s="428">
        <f>'Parametre - Agendové IS'!R127+NPV(Faktory!$D$5,'Parametre - Agendové IS'!R128:R136)</f>
        <v>0</v>
      </c>
      <c r="H4" s="490" t="s">
        <v>204</v>
      </c>
      <c r="I4" s="429">
        <f>SUM(D4:H4)</f>
        <v>0</v>
      </c>
      <c r="M4" s="270"/>
      <c r="N4" s="271" t="s">
        <v>68</v>
      </c>
      <c r="O4" s="272"/>
      <c r="P4" s="427">
        <f>SUM('Parametre - Agendové IS'!I127:I136)</f>
        <v>0</v>
      </c>
      <c r="Q4" s="427">
        <f>SUM('Parametre - Agendové IS'!L127:L136)</f>
        <v>0</v>
      </c>
      <c r="R4" s="427">
        <f>SUM('Parametre - Agendové IS'!O127:O136)</f>
        <v>0</v>
      </c>
      <c r="S4" s="428">
        <f>SUM('Parametre - Agendové IS'!R127:R136)</f>
        <v>0</v>
      </c>
      <c r="T4" s="490" t="s">
        <v>204</v>
      </c>
      <c r="U4" s="429">
        <f>SUM(P4:T4)</f>
        <v>0</v>
      </c>
    </row>
    <row r="5" spans="1:22" x14ac:dyDescent="0.25">
      <c r="A5" s="270"/>
      <c r="B5" s="271" t="s">
        <v>202</v>
      </c>
      <c r="C5" s="272"/>
      <c r="D5" s="427">
        <f>SUM(D6:D8)</f>
        <v>3337895.1439909292</v>
      </c>
      <c r="E5" s="427">
        <f>SUM(E6:E8)</f>
        <v>854334.69387755101</v>
      </c>
      <c r="F5" s="427">
        <f>SUM(F6:F8)</f>
        <v>94825.306122448979</v>
      </c>
      <c r="G5" s="428">
        <f>SUM(G6:G8)</f>
        <v>10711.020408163266</v>
      </c>
      <c r="H5" s="427">
        <f>SUM(H6:H8)</f>
        <v>0</v>
      </c>
      <c r="I5" s="429">
        <f>SUM(D5:H5)</f>
        <v>4297766.1643990921</v>
      </c>
      <c r="M5" s="270"/>
      <c r="N5" s="271" t="s">
        <v>202</v>
      </c>
      <c r="O5" s="272"/>
      <c r="P5" s="427">
        <f>SUM(P6:P8)</f>
        <v>3442894.24</v>
      </c>
      <c r="Q5" s="427">
        <f>SUM(Q6:Q8)</f>
        <v>896652</v>
      </c>
      <c r="R5" s="427">
        <f>SUM(R6:R8)</f>
        <v>98400</v>
      </c>
      <c r="S5" s="428">
        <f>SUM(S6:S8)</f>
        <v>11100</v>
      </c>
      <c r="T5" s="427">
        <f>SUM(T6+T7)</f>
        <v>0</v>
      </c>
      <c r="U5" s="429">
        <f>SUM(P5:T5)</f>
        <v>4449046.24</v>
      </c>
    </row>
    <row r="6" spans="1:22" x14ac:dyDescent="0.25">
      <c r="A6" s="273"/>
      <c r="B6" s="274"/>
      <c r="C6" s="275" t="s">
        <v>105</v>
      </c>
      <c r="D6" s="430">
        <f>('TCO TO BE- SW'!G26+NPV(Faktory!$D$5,'TCO TO BE- SW'!G27:G35)+'TCO TO BE- SW'!G36+NPV(Faktory!$D$5,'TCO TO BE- SW'!G37:G45)+'TCO TO BE- SW'!G46+NPV(Faktory!$D$5,'TCO TO BE- SW'!G47:G55))</f>
        <v>3109732.2487528343</v>
      </c>
      <c r="E6" s="430">
        <f>('TCO TO BE- SW'!H26+NPV(Faktory!$D$5,'TCO TO BE- SW'!H27:H35)+'TCO TO BE- SW'!H36+NPV(Faktory!$D$5,'TCO TO BE- SW'!H37:H45)+'TCO TO BE- SW'!H46+NPV(Faktory!$D$5,'TCO TO BE- SW'!H47:H55))</f>
        <v>97580.408163265296</v>
      </c>
      <c r="F6" s="430">
        <f>('TCO TO BE- SW'!I26+NPV(Faktory!$D$5,'TCO TO BE- SW'!I27:I35)+'TCO TO BE- SW'!I36+NPV(Faktory!$D$5,'TCO TO BE- SW'!I37:I45)+'TCO TO BE- SW'!I46+NPV(Faktory!$D$5,'TCO TO BE- SW'!I47:I55))</f>
        <v>94825.306122448979</v>
      </c>
      <c r="G6" s="430">
        <f>('TCO TO BE- SW'!J26+NPV(Faktory!$D$5,'TCO TO BE- SW'!J27:J35)+'TCO TO BE- SW'!J36+NPV(Faktory!$D$5,'TCO TO BE- SW'!J37:J45)+'TCO TO BE- SW'!J46+NPV(Faktory!$D$5,'TCO TO BE- SW'!J47:J55))</f>
        <v>10711.020408163266</v>
      </c>
      <c r="H6" s="430">
        <f>('TCO TO BE- SW'!K26+NPV(Faktory!$D$5,'TCO TO BE- SW'!K27:K35)+'TCO TO BE- SW'!K36+NPV(Faktory!$D$5,'TCO TO BE- SW'!K37:K45)+'TCO TO BE- SW'!K46+NPV(Faktory!$D$5,'TCO TO BE- SW'!K47:K55))</f>
        <v>0</v>
      </c>
      <c r="I6" s="432">
        <f>SUM(D6:H6)</f>
        <v>3312848.9834467117</v>
      </c>
      <c r="M6" s="273"/>
      <c r="N6" s="274"/>
      <c r="O6" s="275" t="s">
        <v>105</v>
      </c>
      <c r="P6" s="430">
        <f>'TCO TO BE- SW'!G25</f>
        <v>3203323.2</v>
      </c>
      <c r="Q6" s="430">
        <f>'TCO TO BE- SW'!H25</f>
        <v>102060</v>
      </c>
      <c r="R6" s="430">
        <f>'TCO TO BE- SW'!I25</f>
        <v>98400</v>
      </c>
      <c r="S6" s="430">
        <f>'TCO TO BE- SW'!J25</f>
        <v>11100</v>
      </c>
      <c r="T6" s="430">
        <f>'TCO TO BE- SW'!K25</f>
        <v>0</v>
      </c>
      <c r="U6" s="432">
        <f>SUM(P6:T6)</f>
        <v>3414883.2</v>
      </c>
    </row>
    <row r="7" spans="1:22" x14ac:dyDescent="0.25">
      <c r="A7" s="273"/>
      <c r="B7" s="274"/>
      <c r="C7" s="275" t="s">
        <v>67</v>
      </c>
      <c r="D7" s="430">
        <f>('TCO TO BE- SW'!G5+NPV(Faktory!$D$5,'TCO TO BE- SW'!G6:G14)+'TCO TO BE- SW'!G15+NPV(Faktory!$D$5,'TCO TO BE- SW'!G16:G24))</f>
        <v>0</v>
      </c>
      <c r="E7" s="430">
        <f>('TCO TO BE- SW'!H5+NPV(Faktory!$D$5,'TCO TO BE- SW'!H6:H14)+'TCO TO BE- SW'!H15+NPV(Faktory!$D$5,'TCO TO BE- SW'!H16:H24))</f>
        <v>0</v>
      </c>
      <c r="F7" s="430">
        <f>('TCO TO BE- SW'!I5+NPV(Faktory!$D$5,'TCO TO BE- SW'!I6:I14)+'TCO TO BE- SW'!I15+NPV(Faktory!$D$5,'TCO TO BE- SW'!I16:I24))</f>
        <v>0</v>
      </c>
      <c r="G7" s="430">
        <f>('TCO TO BE- SW'!J5+NPV(Faktory!$D$5,'TCO TO BE- SW'!J6:J14)+'TCO TO BE- SW'!J15+NPV(Faktory!$D$5,'TCO TO BE- SW'!J16:J24))</f>
        <v>0</v>
      </c>
      <c r="H7" s="430">
        <f>('TCO TO BE- SW'!K5+NPV(Faktory!$D$5,'TCO TO BE- SW'!K6:K14)+'TCO TO BE- SW'!K15+NPV(Faktory!$D$5,'TCO TO BE- SW'!K16:K24))</f>
        <v>0</v>
      </c>
      <c r="I7" s="432">
        <f>SUM(D7:H7)</f>
        <v>0</v>
      </c>
      <c r="M7" s="273"/>
      <c r="N7" s="274"/>
      <c r="O7" s="275" t="s">
        <v>67</v>
      </c>
      <c r="P7" s="430">
        <f>'TCO TO BE- SW'!G4</f>
        <v>0</v>
      </c>
      <c r="Q7" s="430">
        <f>'TCO TO BE- SW'!H4</f>
        <v>0</v>
      </c>
      <c r="R7" s="430">
        <f>'TCO TO BE- SW'!I4</f>
        <v>0</v>
      </c>
      <c r="S7" s="430">
        <f>'TCO TO BE- SW'!J4</f>
        <v>0</v>
      </c>
      <c r="T7" s="430">
        <f>'TCO TO BE- SW'!K4</f>
        <v>0</v>
      </c>
      <c r="U7" s="432">
        <f>SUM(P7:T7)</f>
        <v>0</v>
      </c>
    </row>
    <row r="8" spans="1:22" x14ac:dyDescent="0.25">
      <c r="A8" s="273"/>
      <c r="B8" s="274"/>
      <c r="C8" s="275" t="s">
        <v>66</v>
      </c>
      <c r="D8" s="430">
        <f>('TCO TO BE - HW'!F4+NPV(Faktory!$D$5,'TCO TO BE - HW'!F5:F13)+'TCO TO BE - HW'!F14+NPV(Faktory!$D$5,'TCO TO BE - HW'!F15:F23)+'TCO TO BE - HW'!F24+NPV(Faktory!$D$5,'TCO TO BE - HW'!F25:F33))</f>
        <v>228162.8952380952</v>
      </c>
      <c r="E8" s="430">
        <f>('TCO TO BE - HW'!G4+NPV(Faktory!$D$5,'TCO TO BE - HW'!G5:G13)+'TCO TO BE - HW'!G14+NPV(Faktory!$D$5,'TCO TO BE - HW'!G15:G23)+'TCO TO BE - HW'!G24+NPV(Faktory!$D$5,'TCO TO BE - HW'!G25:G33))</f>
        <v>756754.28571428568</v>
      </c>
      <c r="F8" s="430">
        <f>('TCO TO BE - HW'!H4+NPV(Faktory!$D$5,'TCO TO BE - HW'!H5:H13)+'TCO TO BE - HW'!H14+NPV(Faktory!$D$5,'TCO TO BE - HW'!H15:H23)+'TCO TO BE - HW'!H24+NPV(Faktory!$D$5,'TCO TO BE - HW'!H25:H33))</f>
        <v>0</v>
      </c>
      <c r="G8" s="430">
        <f>('TCO TO BE - HW'!I4+NPV(Faktory!$D$5,'TCO TO BE - HW'!I5:I13)+'TCO TO BE - HW'!I14+NPV(Faktory!$D$5,'TCO TO BE - HW'!I15:I23)+'TCO TO BE - HW'!I24+NPV(Faktory!$D$5,'TCO TO BE - HW'!I25:I33))</f>
        <v>0</v>
      </c>
      <c r="H8" s="433" t="s">
        <v>204</v>
      </c>
      <c r="I8" s="432">
        <f t="shared" ref="I8:I17" si="0">SUM(D8:G8)</f>
        <v>984917.18095238088</v>
      </c>
      <c r="M8" s="273"/>
      <c r="N8" s="274"/>
      <c r="O8" s="275" t="s">
        <v>66</v>
      </c>
      <c r="P8" s="430">
        <f>'TCO TO BE - HW'!F3</f>
        <v>239571.03999999998</v>
      </c>
      <c r="Q8" s="430">
        <f>'TCO TO BE - HW'!G3</f>
        <v>794592</v>
      </c>
      <c r="R8" s="430">
        <f>'TCO TO BE - HW'!H3</f>
        <v>0</v>
      </c>
      <c r="S8" s="430">
        <f>'TCO TO BE - HW'!I3</f>
        <v>0</v>
      </c>
      <c r="T8" s="433" t="s">
        <v>204</v>
      </c>
      <c r="U8" s="432">
        <f t="shared" ref="U8:U23" si="1">SUM(P8:S8)</f>
        <v>1034163.04</v>
      </c>
    </row>
    <row r="9" spans="1:22" x14ac:dyDescent="0.25">
      <c r="A9" s="270"/>
      <c r="B9" s="271" t="s">
        <v>203</v>
      </c>
      <c r="C9" s="272"/>
      <c r="D9" s="427">
        <f>SUM(D10:D12)</f>
        <v>2101010.0700072814</v>
      </c>
      <c r="E9" s="427">
        <f>SUM(E10:E12)</f>
        <v>598863.76306270377</v>
      </c>
      <c r="F9" s="427">
        <f>SUM(F10:F12)</f>
        <v>5714.4297085224907</v>
      </c>
      <c r="G9" s="428">
        <f>SUM(G10:G12)</f>
        <v>644.6155463882078</v>
      </c>
      <c r="H9" s="427">
        <f>SUM(H10:H12)</f>
        <v>0</v>
      </c>
      <c r="I9" s="429">
        <f>SUM(D9:H9)</f>
        <v>2706232.8783248956</v>
      </c>
      <c r="M9" s="270"/>
      <c r="N9" s="271" t="s">
        <v>203</v>
      </c>
      <c r="O9" s="272"/>
      <c r="P9" s="427">
        <f>SUM(P10:P12)</f>
        <v>2763277.9155695182</v>
      </c>
      <c r="Q9" s="427">
        <f>SUM(Q10:Q12)</f>
        <v>802388.02186393959</v>
      </c>
      <c r="R9" s="427">
        <f>SUM(R10:R12)</f>
        <v>7516.4467118524017</v>
      </c>
      <c r="S9" s="428">
        <f>SUM(S10:S12)</f>
        <v>847.89185469066717</v>
      </c>
      <c r="T9" s="427">
        <f>SUM(T10+T11)</f>
        <v>0</v>
      </c>
      <c r="U9" s="429">
        <f>SUM(P9:T9)</f>
        <v>3574030.276000001</v>
      </c>
    </row>
    <row r="10" spans="1:22" x14ac:dyDescent="0.25">
      <c r="A10" s="273"/>
      <c r="B10" s="274"/>
      <c r="C10" s="275" t="s">
        <v>105</v>
      </c>
      <c r="D10" s="430">
        <f>('TCO TO BE- SW'!G79+NPV(Faktory!$D$5,'TCO TO BE- SW'!G80:G88)+'TCO TO BE- SW'!G89+NPV(Faktory!$D$5,'TCO TO BE- SW'!G90:G98)+'TCO TO BE- SW'!G99+NPV(Faktory!$D$5,'TCO TO BE- SW'!G100:G108)+'TCO TO BE- SW'!G109+NPV(Faktory!$D$5,'TCO TO BE- SW'!G110:G118)+'TCO TO BE- SW'!G119+NPV(Faktory!$D$5,'TCO TO BE- SW'!G120:G128))</f>
        <v>2083458.7417901235</v>
      </c>
      <c r="E10" s="430">
        <f>('TCO TO BE- SW'!H79+NPV(Faktory!$D$5,'TCO TO BE- SW'!H80:H88)+'TCO TO BE- SW'!H89+NPV(Faktory!$D$5,'TCO TO BE- SW'!H90:H98)+'TCO TO BE- SW'!H99+NPV(Faktory!$D$5,'TCO TO BE- SW'!H100:H108)+'TCO TO BE- SW'!H109+NPV(Faktory!$D$5,'TCO TO BE- SW'!H110:H118)+'TCO TO BE- SW'!H119+NPV(Faktory!$D$5,'TCO TO BE- SW'!H120:H128))</f>
        <v>5926.978618412656</v>
      </c>
      <c r="F10" s="430">
        <f>('TCO TO BE- SW'!I79+NPV(Faktory!$D$5,'TCO TO BE- SW'!I80:I88)+'TCO TO BE- SW'!I89+NPV(Faktory!$D$5,'TCO TO BE- SW'!I90:I98)+'TCO TO BE- SW'!I99+NPV(Faktory!$D$5,'TCO TO BE- SW'!I100:I108)+'TCO TO BE- SW'!I109+NPV(Faktory!$D$5,'TCO TO BE- SW'!I110:I118)+'TCO TO BE- SW'!I119+NPV(Faktory!$D$5,'TCO TO BE- SW'!I120:I128))</f>
        <v>5714.4297085224907</v>
      </c>
      <c r="G10" s="430">
        <f>('TCO TO BE- SW'!J79+NPV(Faktory!$D$5,'TCO TO BE- SW'!J80:J88)+'TCO TO BE- SW'!J89+NPV(Faktory!$D$5,'TCO TO BE- SW'!J90:J98)+'TCO TO BE- SW'!J99+NPV(Faktory!$D$5,'TCO TO BE- SW'!J100:J108)+'TCO TO BE- SW'!J109+NPV(Faktory!$D$5,'TCO TO BE- SW'!J110:J118)+'TCO TO BE- SW'!J119+NPV(Faktory!$D$5,'TCO TO BE- SW'!J120:J128))</f>
        <v>644.6155463882078</v>
      </c>
      <c r="H10" s="430">
        <f>('TCO TO BE- SW'!K79+NPV(Faktory!$D$5,'TCO TO BE- SW'!K80:K88)+'TCO TO BE- SW'!K89+NPV(Faktory!$D$5,'TCO TO BE- SW'!K90:K98)+'TCO TO BE- SW'!K99+NPV(Faktory!$D$5,'TCO TO BE- SW'!K100:K108)+'TCO TO BE- SW'!K109+NPV(Faktory!$D$5,'TCO TO BE- SW'!K110:K118)+'TCO TO BE- SW'!K119+NPV(Faktory!$D$5,'TCO TO BE- SW'!K120:K128))</f>
        <v>0</v>
      </c>
      <c r="I10" s="432">
        <f>SUM(D10:H10)</f>
        <v>2095744.7656634471</v>
      </c>
      <c r="M10" s="273"/>
      <c r="N10" s="274"/>
      <c r="O10" s="275" t="s">
        <v>105</v>
      </c>
      <c r="P10" s="430">
        <f>'TCO TO BE- SW'!G78</f>
        <v>2740467.0995695181</v>
      </c>
      <c r="Q10" s="430">
        <f>'TCO TO BE- SW'!H78</f>
        <v>7796.0218639395925</v>
      </c>
      <c r="R10" s="430">
        <f>'TCO TO BE- SW'!I78</f>
        <v>7516.4467118524017</v>
      </c>
      <c r="S10" s="430">
        <f>'TCO TO BE- SW'!J78</f>
        <v>847.89185469066717</v>
      </c>
      <c r="T10" s="430">
        <f>'TCO TO BE- SW'!K78</f>
        <v>0</v>
      </c>
      <c r="U10" s="432">
        <f>SUM(P10:T10)</f>
        <v>2756627.4600000009</v>
      </c>
    </row>
    <row r="11" spans="1:22" x14ac:dyDescent="0.25">
      <c r="A11" s="273"/>
      <c r="B11" s="274"/>
      <c r="C11" s="275" t="s">
        <v>67</v>
      </c>
      <c r="D11" s="430">
        <f>('TCO TO BE- SW'!G58+NPV(Faktory!$D$5,'TCO TO BE- SW'!G59:G67)+'TCO TO BE- SW'!G68+NPV(Faktory!$D$5,'TCO TO BE- SW'!G69:G77))</f>
        <v>0</v>
      </c>
      <c r="E11" s="430">
        <f>('TCO TO BE- SW'!H58+NPV(Faktory!$D$5,'TCO TO BE- SW'!H59:H67)+'TCO TO BE- SW'!H68+NPV(Faktory!$D$5,'TCO TO BE- SW'!H69:H77))</f>
        <v>0</v>
      </c>
      <c r="F11" s="430">
        <f>('TCO TO BE- SW'!I58+NPV(Faktory!$D$5,'TCO TO BE- SW'!I59:I67)+'TCO TO BE- SW'!I68+NPV(Faktory!$D$5,'TCO TO BE- SW'!I69:I77))</f>
        <v>0</v>
      </c>
      <c r="G11" s="430">
        <f>('TCO TO BE- SW'!J58+NPV(Faktory!$D$5,'TCO TO BE- SW'!J59:J67)+'TCO TO BE- SW'!J68+NPV(Faktory!$D$5,'TCO TO BE- SW'!J69:J77))</f>
        <v>0</v>
      </c>
      <c r="H11" s="430">
        <f>('TCO TO BE- SW'!K58+NPV(Faktory!$D$5,'TCO TO BE- SW'!K59:K67)+'TCO TO BE- SW'!K68+NPV(Faktory!$D$5,'TCO TO BE- SW'!K69:K77))</f>
        <v>0</v>
      </c>
      <c r="I11" s="432">
        <f>SUM(D11:H11)</f>
        <v>0</v>
      </c>
      <c r="M11" s="273"/>
      <c r="N11" s="274"/>
      <c r="O11" s="275" t="s">
        <v>67</v>
      </c>
      <c r="P11" s="430">
        <f>'TCO TO BE- SW'!G57</f>
        <v>0</v>
      </c>
      <c r="Q11" s="430">
        <f>'TCO TO BE- SW'!H57</f>
        <v>0</v>
      </c>
      <c r="R11" s="430">
        <f>'TCO TO BE- SW'!I57</f>
        <v>0</v>
      </c>
      <c r="S11" s="430">
        <f>'TCO TO BE- SW'!J57</f>
        <v>0</v>
      </c>
      <c r="T11" s="430">
        <f>'TCO TO BE- SW'!K57</f>
        <v>0</v>
      </c>
      <c r="U11" s="432">
        <f>SUM(P11:T11)</f>
        <v>0</v>
      </c>
    </row>
    <row r="12" spans="1:22" x14ac:dyDescent="0.25">
      <c r="A12" s="273"/>
      <c r="B12" s="274"/>
      <c r="C12" s="275" t="s">
        <v>66</v>
      </c>
      <c r="D12" s="430">
        <f>('TCO TO BE - HW'!F35+NPV(Faktory!$D$5,'TCO TO BE - HW'!F36:F44)+'TCO TO BE - HW'!F45+NPV(Faktory!$D$5,'TCO TO BE - HW'!F46:F54)+'TCO TO BE - HW'!F55+NPV(Faktory!$D$5,'TCO TO BE - HW'!F56:F64)+'TCO TO BE - HW'!F65+NPV(Faktory!$D$5,'TCO TO BE - HW'!F66:F74)+'TCO TO BE - HW'!F75+NPV(Faktory!$D$5,'TCO TO BE - HW'!F76:F84))</f>
        <v>17551.328217157683</v>
      </c>
      <c r="E12" s="430">
        <f>('TCO TO BE - HW'!G35+NPV(Faktory!$D$5,'TCO TO BE - HW'!G36:G44)+'TCO TO BE - HW'!G45+NPV(Faktory!$D$5,'TCO TO BE - HW'!G46:G54)+'TCO TO BE - HW'!G55+NPV(Faktory!$D$5,'TCO TO BE - HW'!G56:G64)+'TCO TO BE - HW'!G65+NPV(Faktory!$D$5,'TCO TO BE - HW'!G66:G74)+'TCO TO BE - HW'!G75+NPV(Faktory!$D$5,'TCO TO BE - HW'!G76:G84))</f>
        <v>592936.78444429114</v>
      </c>
      <c r="F12" s="430">
        <f>('TCO TO BE - HW'!H35+NPV(Faktory!$D$5,'TCO TO BE - HW'!H36:H44)+'TCO TO BE - HW'!H45+NPV(Faktory!$D$5,'TCO TO BE - HW'!H46:H54)+'TCO TO BE - HW'!H55+NPV(Faktory!$D$5,'TCO TO BE - HW'!H56:H64)+'TCO TO BE - HW'!H65+NPV(Faktory!$D$5,'TCO TO BE - HW'!H66:H74)+'TCO TO BE - HW'!H75+NPV(Faktory!$D$5,'TCO TO BE - HW'!H76:H84))</f>
        <v>0</v>
      </c>
      <c r="G12" s="430">
        <f>('TCO TO BE - HW'!I35+NPV(Faktory!$D$5,'TCO TO BE - HW'!I36:I44)+'TCO TO BE - HW'!I45+NPV(Faktory!$D$5,'TCO TO BE - HW'!I46:I54)+'TCO TO BE - HW'!I55+NPV(Faktory!$D$5,'TCO TO BE - HW'!I56:I64)+'TCO TO BE - HW'!I65+NPV(Faktory!$D$5,'TCO TO BE - HW'!I66:I74)+'TCO TO BE - HW'!I75+NPV(Faktory!$D$5,'TCO TO BE - HW'!I76:I84))</f>
        <v>0</v>
      </c>
      <c r="H12" s="433" t="s">
        <v>204</v>
      </c>
      <c r="I12" s="432">
        <f t="shared" si="0"/>
        <v>610488.11266144877</v>
      </c>
      <c r="M12" s="273"/>
      <c r="N12" s="274"/>
      <c r="O12" s="275" t="s">
        <v>66</v>
      </c>
      <c r="P12" s="430">
        <f>'TCO TO BE - HW'!F34</f>
        <v>22810.815999999995</v>
      </c>
      <c r="Q12" s="430">
        <f>'TCO TO BE - HW'!G34</f>
        <v>794592</v>
      </c>
      <c r="R12" s="430">
        <f>'TCO TO BE - HW'!H34</f>
        <v>0</v>
      </c>
      <c r="S12" s="430">
        <f>'TCO TO BE - HW'!I34</f>
        <v>0</v>
      </c>
      <c r="T12" s="433" t="s">
        <v>204</v>
      </c>
      <c r="U12" s="432">
        <f t="shared" si="1"/>
        <v>817402.81599999999</v>
      </c>
    </row>
    <row r="13" spans="1:22" x14ac:dyDescent="0.25">
      <c r="A13" s="273"/>
      <c r="B13" s="271" t="s">
        <v>265</v>
      </c>
      <c r="C13" s="272"/>
      <c r="D13" s="493">
        <f>'TCO TO BE- SW'!G130+NPV(0.05,'TCO TO BE- SW'!G131:G139)+'TCO TO BE- SW'!G140+NPV(0.05,'TCO TO BE- SW'!G141:G149)</f>
        <v>189197.91525623584</v>
      </c>
      <c r="E13" s="493">
        <f>'TCO TO BE- SW'!H130+NPV(0.05,'TCO TO BE- SW'!H131:H139)+'TCO TO BE- SW'!H140+NPV(0.05,'TCO TO BE- SW'!H141:H149)</f>
        <v>0</v>
      </c>
      <c r="F13" s="493">
        <f>'TCO TO BE- SW'!I130+NPV(0.05,'TCO TO BE- SW'!I131:I139)+'TCO TO BE- SW'!I140+NPV(0.05,'TCO TO BE- SW'!I141:I149)</f>
        <v>0</v>
      </c>
      <c r="G13" s="494">
        <f>'TCO TO BE- SW'!J130+NPV(0.05,'TCO TO BE- SW'!J131:J139)+'TCO TO BE- SW'!J140+NPV(0.05,'TCO TO BE- SW'!J141:J149)</f>
        <v>0</v>
      </c>
      <c r="H13" s="493">
        <f>'TCO TO BE- SW'!K130+NPV(0.05,'TCO TO BE- SW'!K131:K139)+'TCO TO BE- SW'!K140+NPV(0.05,'TCO TO BE- SW'!K141:K149)</f>
        <v>0</v>
      </c>
      <c r="I13" s="429">
        <f>SUM(D13:H13)</f>
        <v>189197.91525623584</v>
      </c>
      <c r="M13" s="273"/>
      <c r="N13" s="271" t="s">
        <v>265</v>
      </c>
      <c r="O13" s="272"/>
      <c r="P13" s="493">
        <f>'TCO TO BE- SW'!G129</f>
        <v>196929.37000000002</v>
      </c>
      <c r="Q13" s="493">
        <f>'TCO TO BE- SW'!H129</f>
        <v>0</v>
      </c>
      <c r="R13" s="493">
        <f>'TCO TO BE- SW'!I129</f>
        <v>0</v>
      </c>
      <c r="S13" s="494">
        <f>'TCO TO BE- SW'!J129</f>
        <v>0</v>
      </c>
      <c r="T13" s="493">
        <f>'TCO TO BE- SW'!K129</f>
        <v>0</v>
      </c>
      <c r="U13" s="429">
        <f>SUM(P13:T13)</f>
        <v>196929.37000000002</v>
      </c>
      <c r="V13" s="583">
        <f>U13/SUM(U6:U8,U10:U12)</f>
        <v>2.4545368551237685E-2</v>
      </c>
    </row>
    <row r="14" spans="1:22" x14ac:dyDescent="0.25">
      <c r="A14" s="273"/>
      <c r="B14" s="271" t="s">
        <v>288</v>
      </c>
      <c r="C14" s="272"/>
      <c r="D14" s="493">
        <f>'TCO TO BE- SW'!G151+NPV(0.05,'TCO TO BE- SW'!G152:G160)+'TCO TO BE- SW'!G161+NPV(0.05,'TCO TO BE- SW'!G162:G170)</f>
        <v>0</v>
      </c>
      <c r="E14" s="493">
        <f>'TCO TO BE- SW'!H151+NPV(0.05,'TCO TO BE- SW'!H152:H160)+'TCO TO BE- SW'!H161+NPV(0.05,'TCO TO BE- SW'!H162:H170)</f>
        <v>0</v>
      </c>
      <c r="F14" s="493">
        <f>'TCO TO BE- SW'!I151+NPV(0.05,'TCO TO BE- SW'!I152:I160)+'TCO TO BE- SW'!I161+NPV(0.05,'TCO TO BE- SW'!I162:I170)</f>
        <v>0</v>
      </c>
      <c r="G14" s="494">
        <f>'TCO TO BE- SW'!J151+NPV(0.05,'TCO TO BE- SW'!J152:J160)+'TCO TO BE- SW'!J161+NPV(0.05,'TCO TO BE- SW'!J162:J170)</f>
        <v>0</v>
      </c>
      <c r="H14" s="493">
        <f>'TCO TO BE- SW'!K151+NPV(0.05,'TCO TO BE- SW'!K152:K160)+'TCO TO BE- SW'!K161+NPV(0.05,'TCO TO BE- SW'!K162:K170)</f>
        <v>0</v>
      </c>
      <c r="I14" s="429">
        <f>SUM(D14:H14)</f>
        <v>0</v>
      </c>
      <c r="M14" s="273"/>
      <c r="N14" s="271" t="s">
        <v>288</v>
      </c>
      <c r="O14" s="272"/>
      <c r="P14" s="493">
        <f>'TCO TO BE- SW'!G150</f>
        <v>0</v>
      </c>
      <c r="Q14" s="493">
        <f>'TCO TO BE- SW'!H150</f>
        <v>0</v>
      </c>
      <c r="R14" s="493">
        <f>'TCO TO BE- SW'!I150</f>
        <v>0</v>
      </c>
      <c r="S14" s="494">
        <f>'TCO TO BE- SW'!J150</f>
        <v>0</v>
      </c>
      <c r="T14" s="493">
        <f>'TCO TO BE- SW'!K150</f>
        <v>0</v>
      </c>
      <c r="U14" s="429">
        <f>SUM(P14:T14)</f>
        <v>0</v>
      </c>
    </row>
    <row r="15" spans="1:22" x14ac:dyDescent="0.25">
      <c r="A15" s="265" t="s">
        <v>198</v>
      </c>
      <c r="B15" s="266"/>
      <c r="C15" s="267"/>
      <c r="D15" s="424">
        <f>D16+D19</f>
        <v>7076582.5980020417</v>
      </c>
      <c r="E15" s="424">
        <f>E16+E19</f>
        <v>3158551.3144701696</v>
      </c>
      <c r="F15" s="424">
        <f>F16+F19</f>
        <v>117056.78578579766</v>
      </c>
      <c r="G15" s="425">
        <f>G16+G19</f>
        <v>13204.576445349136</v>
      </c>
      <c r="H15" s="492" t="s">
        <v>204</v>
      </c>
      <c r="I15" s="426">
        <f t="shared" si="0"/>
        <v>10365395.274703357</v>
      </c>
      <c r="M15" s="265" t="s">
        <v>198</v>
      </c>
      <c r="N15" s="266"/>
      <c r="O15" s="267"/>
      <c r="P15" s="268">
        <f>P16+P19</f>
        <v>9438299.6826031469</v>
      </c>
      <c r="Q15" s="268">
        <f>Q16+Q19</f>
        <v>4212676.5929738898</v>
      </c>
      <c r="R15" s="268">
        <f>R16+R19</f>
        <v>156122.9603171121</v>
      </c>
      <c r="S15" s="269">
        <f>S16+S19</f>
        <v>17611.431499186438</v>
      </c>
      <c r="T15" s="492" t="s">
        <v>204</v>
      </c>
      <c r="U15" s="410">
        <f t="shared" si="1"/>
        <v>13824710.667393336</v>
      </c>
    </row>
    <row r="16" spans="1:22" x14ac:dyDescent="0.25">
      <c r="A16" s="270"/>
      <c r="B16" s="271" t="s">
        <v>17</v>
      </c>
      <c r="C16" s="272"/>
      <c r="D16" s="427">
        <f>D17+D18</f>
        <v>0</v>
      </c>
      <c r="E16" s="427">
        <f>E17+E18</f>
        <v>0</v>
      </c>
      <c r="F16" s="427">
        <f>F17+F18</f>
        <v>0</v>
      </c>
      <c r="G16" s="428">
        <f>G17+G18</f>
        <v>0</v>
      </c>
      <c r="H16" s="490" t="s">
        <v>204</v>
      </c>
      <c r="I16" s="429">
        <f t="shared" si="0"/>
        <v>0</v>
      </c>
      <c r="M16" s="270"/>
      <c r="N16" s="271" t="s">
        <v>17</v>
      </c>
      <c r="O16" s="272"/>
      <c r="P16" s="427">
        <f>P17+P18</f>
        <v>0</v>
      </c>
      <c r="Q16" s="427">
        <f>Q17+Q18</f>
        <v>0</v>
      </c>
      <c r="R16" s="427">
        <f>R17+R18</f>
        <v>0</v>
      </c>
      <c r="S16" s="428">
        <f>S17+S18</f>
        <v>0</v>
      </c>
      <c r="T16" s="490" t="s">
        <v>204</v>
      </c>
      <c r="U16" s="429">
        <f t="shared" si="1"/>
        <v>0</v>
      </c>
    </row>
    <row r="17" spans="1:22" x14ac:dyDescent="0.25">
      <c r="A17" s="273"/>
      <c r="B17" s="274"/>
      <c r="C17" s="275" t="s">
        <v>47</v>
      </c>
      <c r="D17" s="430">
        <f>'Parametre - Agendové IS'!I137+NPV(Faktory!$D$3,'Parametre - Agendové IS'!I138:I146)</f>
        <v>0</v>
      </c>
      <c r="E17" s="430">
        <f>'Parametre - Agendové IS'!L137+NPV(Faktory!$D$3,'Parametre - Agendové IS'!L138:L146)</f>
        <v>0</v>
      </c>
      <c r="F17" s="430">
        <f>'Parametre - Agendové IS'!O137+NPV(Faktory!$D$3,'Parametre - Agendové IS'!O138:O146)</f>
        <v>0</v>
      </c>
      <c r="G17" s="431">
        <f>'Parametre - Agendové IS'!R137+NPV(Faktory!$D$3,'Parametre - Agendové IS'!R138:R146)</f>
        <v>0</v>
      </c>
      <c r="H17" s="433" t="s">
        <v>204</v>
      </c>
      <c r="I17" s="432">
        <f t="shared" si="0"/>
        <v>0</v>
      </c>
      <c r="M17" s="273"/>
      <c r="N17" s="274"/>
      <c r="O17" s="275" t="s">
        <v>47</v>
      </c>
      <c r="P17" s="430">
        <f>SUM('Parametre - Agendové IS'!I137:I146)</f>
        <v>0</v>
      </c>
      <c r="Q17" s="430">
        <f>SUM('Parametre - Agendové IS'!L137:L146)</f>
        <v>0</v>
      </c>
      <c r="R17" s="430">
        <f>SUM('Parametre - Agendové IS'!O137:O146)</f>
        <v>0</v>
      </c>
      <c r="S17" s="431">
        <f>SUM('Parametre - Agendové IS'!R137:R146)</f>
        <v>0</v>
      </c>
      <c r="T17" s="433" t="s">
        <v>204</v>
      </c>
      <c r="U17" s="432">
        <f t="shared" si="1"/>
        <v>0</v>
      </c>
    </row>
    <row r="18" spans="1:22" x14ac:dyDescent="0.25">
      <c r="A18" s="273"/>
      <c r="B18" s="274"/>
      <c r="C18" s="275" t="s">
        <v>48</v>
      </c>
      <c r="D18" s="430"/>
      <c r="E18" s="430"/>
      <c r="F18" s="430"/>
      <c r="G18" s="431"/>
      <c r="H18" s="433" t="s">
        <v>204</v>
      </c>
      <c r="I18" s="432">
        <f>'Prínosy - Agendové IS'!G15</f>
        <v>0</v>
      </c>
      <c r="J18" s="411"/>
      <c r="M18" s="273"/>
      <c r="N18" s="274"/>
      <c r="O18" s="275" t="s">
        <v>48</v>
      </c>
      <c r="P18" s="430"/>
      <c r="Q18" s="430"/>
      <c r="R18" s="430"/>
      <c r="S18" s="431"/>
      <c r="T18" s="433" t="s">
        <v>204</v>
      </c>
      <c r="U18" s="432">
        <f>'Prínosy - Agendové IS'!G14</f>
        <v>0</v>
      </c>
      <c r="V18" s="411"/>
    </row>
    <row r="19" spans="1:22" x14ac:dyDescent="0.25">
      <c r="A19" s="270"/>
      <c r="B19" s="271" t="s">
        <v>18</v>
      </c>
      <c r="C19" s="272"/>
      <c r="D19" s="427">
        <f>D20+D21+D23</f>
        <v>7076582.5980020417</v>
      </c>
      <c r="E19" s="427">
        <f>E20+E21+E23</f>
        <v>3158551.3144701696</v>
      </c>
      <c r="F19" s="427">
        <f>F20+F21+F23</f>
        <v>117056.78578579766</v>
      </c>
      <c r="G19" s="428">
        <f>G20+G21+G23</f>
        <v>13204.576445349136</v>
      </c>
      <c r="H19" s="490" t="s">
        <v>204</v>
      </c>
      <c r="I19" s="429">
        <f>SUM(D19:G19)</f>
        <v>10365395.274703357</v>
      </c>
      <c r="M19" s="270"/>
      <c r="N19" s="271" t="s">
        <v>18</v>
      </c>
      <c r="O19" s="272"/>
      <c r="P19" s="427">
        <f>P20+P21+P23</f>
        <v>9438299.6826031469</v>
      </c>
      <c r="Q19" s="427">
        <f>Q20+Q21+Q23</f>
        <v>4212676.5929738898</v>
      </c>
      <c r="R19" s="427">
        <f>R20+R21+R23</f>
        <v>156122.9603171121</v>
      </c>
      <c r="S19" s="428">
        <f>S20+S21+S23</f>
        <v>17611.431499186438</v>
      </c>
      <c r="T19" s="490" t="s">
        <v>204</v>
      </c>
      <c r="U19" s="429">
        <f t="shared" si="1"/>
        <v>13824710.667393336</v>
      </c>
    </row>
    <row r="20" spans="1:22" x14ac:dyDescent="0.25">
      <c r="A20" s="273"/>
      <c r="B20" s="274"/>
      <c r="C20" s="275" t="s">
        <v>200</v>
      </c>
      <c r="D20" s="430">
        <f>'Parametre - Agendové IS'!I117+NPV(Faktory!$D$5,'Parametre - Agendové IS'!I118:I126)</f>
        <v>0</v>
      </c>
      <c r="E20" s="430">
        <f>'Parametre - Agendové IS'!L117+NPV(Faktory!$D$5,'Parametre - Agendové IS'!L118:L126)</f>
        <v>0</v>
      </c>
      <c r="F20" s="430">
        <f>'Parametre - Agendové IS'!O117+NPV(Faktory!$D$5,'Parametre - Agendové IS'!O118:O126)</f>
        <v>0</v>
      </c>
      <c r="G20" s="431">
        <f>'Parametre - Agendové IS'!R117+NPV(Faktory!$D$5,'Parametre - Agendové IS'!R118:R126)</f>
        <v>0</v>
      </c>
      <c r="H20" s="433" t="s">
        <v>204</v>
      </c>
      <c r="I20" s="432">
        <f>SUM(D20:G20)</f>
        <v>0</v>
      </c>
      <c r="M20" s="273"/>
      <c r="N20" s="274"/>
      <c r="O20" s="275" t="s">
        <v>200</v>
      </c>
      <c r="P20" s="430">
        <f>SUM('Parametre - Agendové IS'!I117:I126)</f>
        <v>0</v>
      </c>
      <c r="Q20" s="430">
        <f>SUM('Parametre - Agendové IS'!L117:L126)</f>
        <v>0</v>
      </c>
      <c r="R20" s="430">
        <f>SUM('Parametre - Agendové IS'!O117:O126)</f>
        <v>0</v>
      </c>
      <c r="S20" s="431">
        <f>SUM('Parametre - Agendové IS'!R117:R126)</f>
        <v>0</v>
      </c>
      <c r="T20" s="433" t="s">
        <v>204</v>
      </c>
      <c r="U20" s="432">
        <f t="shared" si="1"/>
        <v>0</v>
      </c>
    </row>
    <row r="21" spans="1:22" x14ac:dyDescent="0.25">
      <c r="A21" s="273"/>
      <c r="B21" s="274"/>
      <c r="C21" s="275" t="s">
        <v>199</v>
      </c>
      <c r="D21" s="430">
        <f>-('Parametre - Agendové IS'!I97+NPV(Faktory!$D$5,'Parametre - Agendové IS'!I98:I106))</f>
        <v>3151771.2381220423</v>
      </c>
      <c r="E21" s="430">
        <f>-('Parametre - Agendové IS'!L97+NPV(Faktory!$D$5,'Parametre - Agendové IS'!L98:L106))</f>
        <v>2117116.6984370844</v>
      </c>
      <c r="F21" s="430">
        <f>-('Parametre - Agendové IS'!O97+NPV(Faktory!$D$5,'Parametre - Agendové IS'!O98:O106))</f>
        <v>52134.798902913011</v>
      </c>
      <c r="G21" s="431">
        <f>-('Parametre - Agendové IS'!R97+NPV(Faktory!$D$5,'Parametre - Agendové IS'!R98:R106))</f>
        <v>5881.0596323408045</v>
      </c>
      <c r="H21" s="433" t="s">
        <v>204</v>
      </c>
      <c r="I21" s="432">
        <f>SUM(D21:G21)</f>
        <v>5326903.7950943802</v>
      </c>
      <c r="M21" s="273"/>
      <c r="N21" s="274"/>
      <c r="O21" s="275" t="s">
        <v>199</v>
      </c>
      <c r="P21" s="430">
        <f>-(SUM('Parametre - Agendové IS'!I97:I106))</f>
        <v>4203633.7546323119</v>
      </c>
      <c r="Q21" s="430">
        <f>-(SUM('Parametre - Agendové IS'!L97:L106))</f>
        <v>2823676.7657504841</v>
      </c>
      <c r="R21" s="430">
        <f>-(SUM('Parametre - Agendové IS'!O97:O106))</f>
        <v>69534.107618113456</v>
      </c>
      <c r="S21" s="431">
        <f>-(SUM('Parametre - Agendové IS'!R97:R106))</f>
        <v>7843.7865300920739</v>
      </c>
      <c r="T21" s="433" t="s">
        <v>204</v>
      </c>
      <c r="U21" s="432">
        <f t="shared" si="1"/>
        <v>7104688.4145310009</v>
      </c>
    </row>
    <row r="22" spans="1:22" x14ac:dyDescent="0.25">
      <c r="A22" s="273"/>
      <c r="B22" s="274"/>
      <c r="C22" s="275" t="s">
        <v>201</v>
      </c>
      <c r="D22" s="433" t="s">
        <v>204</v>
      </c>
      <c r="E22" s="433" t="s">
        <v>204</v>
      </c>
      <c r="F22" s="433" t="s">
        <v>204</v>
      </c>
      <c r="G22" s="434" t="s">
        <v>204</v>
      </c>
      <c r="H22" s="433" t="s">
        <v>204</v>
      </c>
      <c r="I22" s="435" t="s">
        <v>204</v>
      </c>
      <c r="M22" s="273"/>
      <c r="N22" s="274"/>
      <c r="O22" s="275" t="s">
        <v>201</v>
      </c>
      <c r="P22" s="430">
        <f>SUM('Parametre - Agendové IS'!I107:I116)</f>
        <v>0</v>
      </c>
      <c r="Q22" s="430">
        <f>SUM('Parametre - Agendové IS'!L107:L116)</f>
        <v>-48.422083333333347</v>
      </c>
      <c r="R22" s="430">
        <f>SUM('Parametre - Agendové IS'!O107:O116)</f>
        <v>0</v>
      </c>
      <c r="S22" s="431">
        <f>SUM('Parametre - Agendové IS'!R107:R116)</f>
        <v>0</v>
      </c>
      <c r="T22" s="433" t="s">
        <v>204</v>
      </c>
      <c r="U22" s="432">
        <f t="shared" si="1"/>
        <v>-48.422083333333347</v>
      </c>
    </row>
    <row r="23" spans="1:22" ht="15.75" thickBot="1" x14ac:dyDescent="0.3">
      <c r="A23" s="276"/>
      <c r="B23" s="277"/>
      <c r="C23" s="278" t="s">
        <v>39</v>
      </c>
      <c r="D23" s="436">
        <f>'Parametre - Agendové IS'!I157+NPV(Faktory!$D$5,'Parametre - Agendové IS'!I158:I166)</f>
        <v>3924811.3598799994</v>
      </c>
      <c r="E23" s="436">
        <f>'Parametre - Agendové IS'!L157+NPV(Faktory!$D$5,'Parametre - Agendové IS'!L158:L166)</f>
        <v>1041434.6160330852</v>
      </c>
      <c r="F23" s="436">
        <f>'Parametre - Agendové IS'!O157+NPV(Faktory!$D$5,'Parametre - Agendové IS'!O158:O166)</f>
        <v>64921.986882884645</v>
      </c>
      <c r="G23" s="437">
        <f>'Parametre - Agendové IS'!R157+NPV(Faktory!$D$5,'Parametre - Agendové IS'!R158:R166)</f>
        <v>7323.5168130083312</v>
      </c>
      <c r="H23" s="491" t="s">
        <v>204</v>
      </c>
      <c r="I23" s="438">
        <f>SUM(D23:G23)</f>
        <v>5038491.4796089781</v>
      </c>
      <c r="M23" s="273"/>
      <c r="N23" s="274"/>
      <c r="O23" s="275" t="s">
        <v>39</v>
      </c>
      <c r="P23" s="430">
        <f>SUM('Parametre - Agendové IS'!I157:I166)</f>
        <v>5234665.927970835</v>
      </c>
      <c r="Q23" s="430">
        <f>SUM('Parametre - Agendové IS'!L157:L166)</f>
        <v>1388999.8272234062</v>
      </c>
      <c r="R23" s="430">
        <f>SUM('Parametre - Agendové IS'!O157:O166)</f>
        <v>86588.852698998642</v>
      </c>
      <c r="S23" s="431">
        <f>SUM('Parametre - Agendové IS'!R157:R166)</f>
        <v>9767.6449690943628</v>
      </c>
      <c r="T23" s="491" t="s">
        <v>204</v>
      </c>
      <c r="U23" s="439">
        <f t="shared" si="1"/>
        <v>6720022.2528623343</v>
      </c>
    </row>
    <row r="24" spans="1:22" x14ac:dyDescent="0.25">
      <c r="A24" s="270"/>
      <c r="B24" s="271" t="s">
        <v>205</v>
      </c>
      <c r="C24" s="272"/>
      <c r="D24" s="488"/>
      <c r="E24" s="489"/>
      <c r="F24" s="489"/>
      <c r="G24" s="489"/>
      <c r="H24" s="495"/>
      <c r="I24" s="496"/>
      <c r="M24" s="270"/>
      <c r="N24" s="271" t="s">
        <v>205</v>
      </c>
      <c r="O24" s="272"/>
      <c r="P24" s="488"/>
      <c r="Q24" s="489"/>
      <c r="R24" s="489"/>
      <c r="S24" s="489"/>
      <c r="T24" s="495"/>
      <c r="U24" s="496"/>
    </row>
    <row r="25" spans="1:22" x14ac:dyDescent="0.25">
      <c r="A25" s="412"/>
      <c r="B25" s="413"/>
      <c r="C25" s="414" t="s">
        <v>1024</v>
      </c>
      <c r="M25" s="412"/>
      <c r="N25" s="413"/>
      <c r="O25" s="414" t="s">
        <v>365</v>
      </c>
    </row>
    <row r="26" spans="1:22" x14ac:dyDescent="0.25">
      <c r="A26" s="412"/>
      <c r="B26" s="413"/>
      <c r="C26" s="414" t="s">
        <v>1025</v>
      </c>
      <c r="M26" s="412"/>
      <c r="N26" s="413"/>
      <c r="O26" s="414" t="s">
        <v>206</v>
      </c>
    </row>
    <row r="27" spans="1:22" x14ac:dyDescent="0.25">
      <c r="A27" s="412"/>
      <c r="B27" s="413"/>
      <c r="C27" s="414" t="s">
        <v>1027</v>
      </c>
      <c r="M27" s="412"/>
      <c r="N27" s="413"/>
      <c r="O27" s="414" t="s">
        <v>206</v>
      </c>
    </row>
    <row r="28" spans="1:22" x14ac:dyDescent="0.25">
      <c r="C28" s="1132" t="s">
        <v>1026</v>
      </c>
    </row>
  </sheetData>
  <sheetProtection insertColumns="0" insertRows="0" deleteColumns="0" deleteRows="0"/>
  <mergeCells count="4">
    <mergeCell ref="M1:O1"/>
    <mergeCell ref="A1:C1"/>
    <mergeCell ref="M2:O2"/>
    <mergeCell ref="A2:C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colBreaks count="1" manualBreakCount="1">
    <brk id="10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4"/>
  <sheetViews>
    <sheetView showGridLines="0" zoomScaleNormal="100" workbookViewId="0">
      <pane ySplit="3" topLeftCell="A4" activePane="bottomLeft" state="frozen"/>
      <selection activeCell="C47" sqref="C47"/>
      <selection pane="bottomLeft" activeCell="C47" sqref="C47"/>
    </sheetView>
  </sheetViews>
  <sheetFormatPr defaultColWidth="8.85546875" defaultRowHeight="15" x14ac:dyDescent="0.25"/>
  <cols>
    <col min="1" max="1" width="9.42578125" customWidth="1"/>
    <col min="2" max="2" width="15" customWidth="1"/>
    <col min="3" max="3" width="15.140625" customWidth="1"/>
    <col min="4" max="4" width="14.140625" customWidth="1"/>
    <col min="5" max="5" width="14.42578125" customWidth="1"/>
    <col min="6" max="6" width="15.140625" customWidth="1"/>
    <col min="7" max="7" width="13.5703125" customWidth="1"/>
    <col min="8" max="8" width="9.85546875" customWidth="1"/>
    <col min="9" max="9" width="22.5703125" customWidth="1"/>
    <col min="10" max="10" width="22.140625" customWidth="1"/>
    <col min="11" max="11" width="20.42578125" customWidth="1"/>
    <col min="12" max="12" width="23.140625" customWidth="1"/>
    <col min="13" max="13" width="12" bestFit="1" customWidth="1"/>
  </cols>
  <sheetData>
    <row r="1" spans="1:13" ht="15.75" thickBot="1" x14ac:dyDescent="0.3">
      <c r="A1" s="9"/>
      <c r="B1" s="1251" t="s">
        <v>36</v>
      </c>
      <c r="C1" s="1252"/>
      <c r="D1" s="1252"/>
      <c r="E1" s="1252"/>
      <c r="F1" s="1252"/>
      <c r="G1" s="1253"/>
      <c r="H1" s="1254" t="s">
        <v>16</v>
      </c>
      <c r="I1" s="1255"/>
      <c r="J1" s="1255"/>
      <c r="K1" s="1255"/>
      <c r="L1" s="1256"/>
    </row>
    <row r="2" spans="1:13" ht="30" x14ac:dyDescent="0.25">
      <c r="A2" s="10"/>
      <c r="B2" s="1254" t="s">
        <v>299</v>
      </c>
      <c r="C2" s="1255"/>
      <c r="D2" s="1256"/>
      <c r="E2" s="1254" t="s">
        <v>300</v>
      </c>
      <c r="F2" s="1255"/>
      <c r="G2" s="1256"/>
      <c r="H2" s="54" t="s">
        <v>19</v>
      </c>
      <c r="I2" s="49" t="s">
        <v>20</v>
      </c>
      <c r="J2" s="12" t="s">
        <v>21</v>
      </c>
      <c r="K2" s="1257" t="s">
        <v>22</v>
      </c>
      <c r="L2" s="1258"/>
    </row>
    <row r="3" spans="1:13" ht="15.75" thickBot="1" x14ac:dyDescent="0.3">
      <c r="A3" s="11" t="s">
        <v>23</v>
      </c>
      <c r="B3" s="14" t="s">
        <v>210</v>
      </c>
      <c r="C3" s="15" t="s">
        <v>156</v>
      </c>
      <c r="D3" s="16" t="s">
        <v>24</v>
      </c>
      <c r="E3" s="14" t="s">
        <v>210</v>
      </c>
      <c r="F3" s="15" t="s">
        <v>156</v>
      </c>
      <c r="G3" s="16" t="s">
        <v>24</v>
      </c>
      <c r="H3" s="55"/>
      <c r="I3" s="50"/>
      <c r="J3" s="13"/>
      <c r="K3" s="1249"/>
      <c r="L3" s="1250"/>
    </row>
    <row r="4" spans="1:13" x14ac:dyDescent="0.25">
      <c r="A4" s="48" t="s">
        <v>25</v>
      </c>
      <c r="B4" s="27">
        <f>'Prínosy - Agendové IS'!Q4-'Výdavky - Agendové IS'!T4</f>
        <v>-31564.799999999999</v>
      </c>
      <c r="C4" s="26">
        <f>'Prínosy - Agendové IS'!R4-'Výdavky - Agendové IS'!U4</f>
        <v>-1403541.848</v>
      </c>
      <c r="D4" s="34">
        <f>C4-B4</f>
        <v>-1371977.048</v>
      </c>
      <c r="E4" s="27">
        <f>'Prínosy - Agendové IS'!T4-('Výdavky - Agendové IS'!T4/1.2)</f>
        <v>-1029104.1154105323</v>
      </c>
      <c r="F4" s="27">
        <f>'Prínosy - Agendové IS'!U4-('Výdavky - Agendové IS'!U4/1.2)</f>
        <v>-2172418.3220771989</v>
      </c>
      <c r="G4" s="34">
        <f t="shared" ref="G4:G13" si="0">F4-E4</f>
        <v>-1143314.2066666665</v>
      </c>
      <c r="H4" s="56">
        <v>0</v>
      </c>
      <c r="I4" s="51">
        <f>D4*(1/(1+Faktory!$D$3)^H4)</f>
        <v>-1371977.048</v>
      </c>
      <c r="J4" s="58">
        <f>G4*(1/(1+Faktory!$D$5)^H4)</f>
        <v>-1143314.2066666665</v>
      </c>
      <c r="K4" s="57">
        <f>J4</f>
        <v>-1143314.2066666665</v>
      </c>
      <c r="L4" s="31" t="str">
        <f>IF(K4&gt;0,"Rok návratu investície","&lt;")</f>
        <v>&lt;</v>
      </c>
      <c r="M4" s="135"/>
    </row>
    <row r="5" spans="1:13" x14ac:dyDescent="0.25">
      <c r="A5" s="33" t="s">
        <v>26</v>
      </c>
      <c r="B5" s="27">
        <f>'Prínosy - Agendové IS'!Q5-'Výdavky - Agendové IS'!T5</f>
        <v>-31564.799999999999</v>
      </c>
      <c r="C5" s="26">
        <f>'Prínosy - Agendové IS'!R5-'Výdavky - Agendové IS'!U5</f>
        <v>-3140784.9679999999</v>
      </c>
      <c r="D5" s="29">
        <f t="shared" ref="D5:D13" si="1">C5-B5</f>
        <v>-3109220.1680000001</v>
      </c>
      <c r="E5" s="27">
        <f>'Prínosy - Agendové IS'!T5-('Výdavky - Agendové IS'!T5/1.2)</f>
        <v>-1029104.1154105323</v>
      </c>
      <c r="F5" s="27">
        <f>'Prínosy - Agendové IS'!U5-('Výdavky - Agendové IS'!U5/1.2)</f>
        <v>-3620120.922077199</v>
      </c>
      <c r="G5" s="29">
        <f t="shared" si="0"/>
        <v>-2591016.8066666666</v>
      </c>
      <c r="H5" s="56">
        <v>1</v>
      </c>
      <c r="I5" s="52">
        <f>D5*(1/(1+Faktory!$D$3)^H5)</f>
        <v>-2989634.7769230767</v>
      </c>
      <c r="J5" s="59">
        <f>G5*(1/(1+Faktory!$D$5)^H5)</f>
        <v>-2467635.053968254</v>
      </c>
      <c r="K5" s="57">
        <f>J5+K4</f>
        <v>-3610949.2606349206</v>
      </c>
      <c r="L5" s="31" t="str">
        <f>IF(L4="&lt;",IF(K5&gt;0,"Rok návratu investície","&lt;"),"&gt;")</f>
        <v>&lt;</v>
      </c>
    </row>
    <row r="6" spans="1:13" x14ac:dyDescent="0.25">
      <c r="A6" s="33" t="s">
        <v>27</v>
      </c>
      <c r="B6" s="27">
        <f>'Prínosy - Agendové IS'!Q6-'Výdavky - Agendové IS'!T6</f>
        <v>-31564.799999999999</v>
      </c>
      <c r="C6" s="26">
        <f>'Prínosy - Agendové IS'!R6-'Výdavky - Agendové IS'!U6</f>
        <v>-288275.31000000006</v>
      </c>
      <c r="D6" s="29">
        <f t="shared" si="1"/>
        <v>-256710.51000000007</v>
      </c>
      <c r="E6" s="27">
        <f>'Prínosy - Agendové IS'!T6-('Výdavky - Agendové IS'!T6/1.2)</f>
        <v>-1029104.1154105323</v>
      </c>
      <c r="F6" s="27">
        <f>'Prínosy - Agendové IS'!U6-('Výdavky - Agendové IS'!U6/1.2)</f>
        <v>-1243029.5404105324</v>
      </c>
      <c r="G6" s="29">
        <f t="shared" si="0"/>
        <v>-213925.42500000005</v>
      </c>
      <c r="H6" s="56">
        <v>2</v>
      </c>
      <c r="I6" s="52">
        <f>D6*(1/(1+Faktory!$D$3)^H6)</f>
        <v>-237343.29696745565</v>
      </c>
      <c r="J6" s="59">
        <f>G6*(1/(1+Faktory!$D$5)^H6)</f>
        <v>-194036.66666666669</v>
      </c>
      <c r="K6" s="57">
        <f t="shared" ref="K6:K13" si="2">J6+K5</f>
        <v>-3804985.9273015871</v>
      </c>
      <c r="L6" s="31" t="str">
        <f t="shared" ref="L6:L13" si="3">IF(L5="&lt;",IF(K6&gt;0,"Rok návratu investície","&lt;"),"&gt;")</f>
        <v>&lt;</v>
      </c>
    </row>
    <row r="7" spans="1:13" x14ac:dyDescent="0.25">
      <c r="A7" s="33" t="s">
        <v>28</v>
      </c>
      <c r="B7" s="27">
        <f>'Prínosy - Agendové IS'!Q7-'Výdavky - Agendové IS'!T7</f>
        <v>-31564.799999999999</v>
      </c>
      <c r="C7" s="26">
        <f>'Prínosy - Agendové IS'!R7-'Výdavky - Agendové IS'!U7</f>
        <v>-370401.68000000005</v>
      </c>
      <c r="D7" s="29">
        <f t="shared" si="1"/>
        <v>-338836.88000000006</v>
      </c>
      <c r="E7" s="27">
        <f>'Prínosy - Agendové IS'!T7-('Výdavky - Agendové IS'!T7/1.2)</f>
        <v>-1850820.8120006765</v>
      </c>
      <c r="F7" s="27">
        <f>'Prínosy - Agendové IS'!U7-('Výdavky - Agendové IS'!U7/1.2)</f>
        <v>-158226.21189686545</v>
      </c>
      <c r="G7" s="29">
        <f t="shared" si="0"/>
        <v>1692594.6001038111</v>
      </c>
      <c r="H7" s="56">
        <v>3</v>
      </c>
      <c r="I7" s="52">
        <f>D7*(1/(1+Faktory!$D$3)^H7)</f>
        <v>-301224.75250341382</v>
      </c>
      <c r="J7" s="59">
        <f>G7*(1/(1+Faktory!$D$5)^H7)</f>
        <v>1462126.8546410203</v>
      </c>
      <c r="K7" s="57">
        <f t="shared" si="2"/>
        <v>-2342859.0726605668</v>
      </c>
      <c r="L7" s="31" t="str">
        <f t="shared" si="3"/>
        <v>&lt;</v>
      </c>
    </row>
    <row r="8" spans="1:13" x14ac:dyDescent="0.25">
      <c r="A8" s="33" t="s">
        <v>29</v>
      </c>
      <c r="B8" s="27">
        <f>'Prínosy - Agendové IS'!Q8-'Výdavky - Agendové IS'!T8</f>
        <v>-31564.799999999999</v>
      </c>
      <c r="C8" s="26">
        <f>'Prínosy - Agendové IS'!R8-'Výdavky - Agendové IS'!U8</f>
        <v>-370401.68000000005</v>
      </c>
      <c r="D8" s="29">
        <f t="shared" si="1"/>
        <v>-338836.88000000006</v>
      </c>
      <c r="E8" s="27">
        <f>'Prínosy - Agendové IS'!T8-('Výdavky - Agendové IS'!T8/1.2)</f>
        <v>-1850820.8120006765</v>
      </c>
      <c r="F8" s="27">
        <f>'Prínosy - Agendové IS'!U8-('Výdavky - Agendové IS'!U8/1.2)</f>
        <v>-158226.21189686545</v>
      </c>
      <c r="G8" s="29">
        <f t="shared" si="0"/>
        <v>1692594.6001038111</v>
      </c>
      <c r="H8" s="56">
        <v>4</v>
      </c>
      <c r="I8" s="52">
        <f>D8*(1/(1+Faktory!$D$3)^H8)</f>
        <v>-289639.18509943632</v>
      </c>
      <c r="J8" s="59">
        <f>G8*(1/(1+Faktory!$D$5)^H8)</f>
        <v>1392501.7663247811</v>
      </c>
      <c r="K8" s="57">
        <f t="shared" si="2"/>
        <v>-950357.30633578566</v>
      </c>
      <c r="L8" s="31" t="str">
        <f t="shared" si="3"/>
        <v>&lt;</v>
      </c>
    </row>
    <row r="9" spans="1:13" x14ac:dyDescent="0.25">
      <c r="A9" s="33" t="s">
        <v>30</v>
      </c>
      <c r="B9" s="27">
        <f>'Prínosy - Agendové IS'!Q9-'Výdavky - Agendové IS'!T9</f>
        <v>-31564.799999999999</v>
      </c>
      <c r="C9" s="26">
        <f>'Prínosy - Agendové IS'!R9-'Výdavky - Agendové IS'!U9</f>
        <v>-370401.68000000005</v>
      </c>
      <c r="D9" s="29">
        <f t="shared" si="1"/>
        <v>-338836.88000000006</v>
      </c>
      <c r="E9" s="27">
        <f>'Prínosy - Agendové IS'!T9-('Výdavky - Agendové IS'!T9/1.2)</f>
        <v>-1850820.8120006765</v>
      </c>
      <c r="F9" s="27">
        <f>'Prínosy - Agendové IS'!U9-('Výdavky - Agendové IS'!U9/1.2)</f>
        <v>-158226.21189686545</v>
      </c>
      <c r="G9" s="29">
        <f t="shared" si="0"/>
        <v>1692594.6001038111</v>
      </c>
      <c r="H9" s="56">
        <v>5</v>
      </c>
      <c r="I9" s="52">
        <f>D9*(1/(1+Faktory!$D$3)^H9)</f>
        <v>-278499.21644176566</v>
      </c>
      <c r="J9" s="59">
        <f>G9*(1/(1+Faktory!$D$5)^H9)</f>
        <v>1326192.1584045535</v>
      </c>
      <c r="K9" s="57">
        <f t="shared" si="2"/>
        <v>375834.85206876788</v>
      </c>
      <c r="L9" s="31" t="str">
        <f t="shared" si="3"/>
        <v>Rok návratu investície</v>
      </c>
    </row>
    <row r="10" spans="1:13" x14ac:dyDescent="0.25">
      <c r="A10" s="33" t="s">
        <v>31</v>
      </c>
      <c r="B10" s="27">
        <f>'Prínosy - Agendové IS'!Q10-'Výdavky - Agendové IS'!T10</f>
        <v>-31564.799999999999</v>
      </c>
      <c r="C10" s="26">
        <f>'Prínosy - Agendové IS'!R10-'Výdavky - Agendové IS'!U10</f>
        <v>-1164993.68</v>
      </c>
      <c r="D10" s="29">
        <f t="shared" si="1"/>
        <v>-1133428.8799999999</v>
      </c>
      <c r="E10" s="27">
        <f>'Prínosy - Agendové IS'!T10-('Výdavky - Agendové IS'!T10/1.2)</f>
        <v>-1850820.8120006765</v>
      </c>
      <c r="F10" s="27">
        <f>'Prínosy - Agendové IS'!U10-('Výdavky - Agendové IS'!U10/1.2)</f>
        <v>-820386.2118968654</v>
      </c>
      <c r="G10" s="29">
        <f t="shared" si="0"/>
        <v>1030434.6001038111</v>
      </c>
      <c r="H10" s="56">
        <v>6</v>
      </c>
      <c r="I10" s="52">
        <f>D10*(1/(1+Faktory!$D$3)^H10)</f>
        <v>-895765.30774605018</v>
      </c>
      <c r="J10" s="59">
        <f>G10*(1/(1+Faktory!$D$5)^H10)</f>
        <v>768926.16382457013</v>
      </c>
      <c r="K10" s="57">
        <f t="shared" si="2"/>
        <v>1144761.015893338</v>
      </c>
      <c r="L10" s="31" t="str">
        <f t="shared" si="3"/>
        <v>&gt;</v>
      </c>
    </row>
    <row r="11" spans="1:13" x14ac:dyDescent="0.25">
      <c r="A11" s="33" t="s">
        <v>32</v>
      </c>
      <c r="B11" s="27">
        <f>'Prínosy - Agendové IS'!Q11-'Výdavky - Agendové IS'!T11</f>
        <v>-31564.799999999999</v>
      </c>
      <c r="C11" s="26">
        <f>'Prínosy - Agendové IS'!R11-'Výdavky - Agendové IS'!U11</f>
        <v>-370401.68000000005</v>
      </c>
      <c r="D11" s="29">
        <f t="shared" si="1"/>
        <v>-338836.88000000006</v>
      </c>
      <c r="E11" s="27">
        <f>'Prínosy - Agendové IS'!T11-('Výdavky - Agendové IS'!T11/1.2)</f>
        <v>-1850820.8120006765</v>
      </c>
      <c r="F11" s="27">
        <f>'Prínosy - Agendové IS'!U11-('Výdavky - Agendové IS'!U11/1.2)</f>
        <v>-158226.21189686545</v>
      </c>
      <c r="G11" s="29">
        <f t="shared" si="0"/>
        <v>1692594.6001038111</v>
      </c>
      <c r="H11" s="56">
        <v>7</v>
      </c>
      <c r="I11" s="52">
        <f>D11*(1/(1+Faktory!$D$3)^H11)</f>
        <v>-257488.18088181</v>
      </c>
      <c r="J11" s="59">
        <f>G11*(1/(1+Faktory!$D$5)^H11)</f>
        <v>1202895.3817728376</v>
      </c>
      <c r="K11" s="57">
        <f t="shared" si="2"/>
        <v>2347656.3976661758</v>
      </c>
      <c r="L11" s="31" t="str">
        <f t="shared" si="3"/>
        <v>&gt;</v>
      </c>
    </row>
    <row r="12" spans="1:13" x14ac:dyDescent="0.25">
      <c r="A12" s="33" t="s">
        <v>33</v>
      </c>
      <c r="B12" s="27">
        <f>'Prínosy - Agendové IS'!Q12-'Výdavky - Agendové IS'!T12</f>
        <v>-31564.799999999999</v>
      </c>
      <c r="C12" s="26">
        <f>'Prínosy - Agendové IS'!R12-'Výdavky - Agendové IS'!U12</f>
        <v>-370401.68000000005</v>
      </c>
      <c r="D12" s="29">
        <f t="shared" si="1"/>
        <v>-338836.88000000006</v>
      </c>
      <c r="E12" s="27">
        <f>'Prínosy - Agendové IS'!T12-('Výdavky - Agendové IS'!T12/1.2)</f>
        <v>-1850820.8120006765</v>
      </c>
      <c r="F12" s="27">
        <f>'Prínosy - Agendové IS'!U12-('Výdavky - Agendové IS'!U12/1.2)</f>
        <v>-158226.21189686545</v>
      </c>
      <c r="G12" s="29">
        <f t="shared" si="0"/>
        <v>1692594.6001038111</v>
      </c>
      <c r="H12" s="56">
        <v>8</v>
      </c>
      <c r="I12" s="52">
        <f>D12*(1/(1+Faktory!$D$3)^H12)</f>
        <v>-247584.78930943261</v>
      </c>
      <c r="J12" s="59">
        <f>G12*(1/(1+Faktory!$D$5)^H12)</f>
        <v>1145614.6493074645</v>
      </c>
      <c r="K12" s="57">
        <f t="shared" si="2"/>
        <v>3493271.0469736401</v>
      </c>
      <c r="L12" s="31" t="str">
        <f t="shared" si="3"/>
        <v>&gt;</v>
      </c>
    </row>
    <row r="13" spans="1:13" ht="15.75" thickBot="1" x14ac:dyDescent="0.3">
      <c r="A13" s="33" t="s">
        <v>34</v>
      </c>
      <c r="B13" s="47">
        <f>'Prínosy - Agendové IS'!Q13-'Výdavky - Agendové IS'!T13</f>
        <v>-31564.799999999999</v>
      </c>
      <c r="C13" s="43">
        <f>'Prínosy - Agendové IS'!R13-'Výdavky - Agendové IS'!U13</f>
        <v>-370401.68000000005</v>
      </c>
      <c r="D13" s="35">
        <f t="shared" si="1"/>
        <v>-338836.88000000006</v>
      </c>
      <c r="E13" s="27">
        <f>'Prínosy - Agendové IS'!T13-('Výdavky - Agendové IS'!T13/1.2)</f>
        <v>-1850820.8120006765</v>
      </c>
      <c r="F13" s="27">
        <f>'Prínosy - Agendové IS'!U13-('Výdavky - Agendové IS'!U13/1.2)</f>
        <v>-158226.21189686545</v>
      </c>
      <c r="G13" s="35">
        <f t="shared" si="0"/>
        <v>1692594.6001038111</v>
      </c>
      <c r="H13" s="56">
        <v>9</v>
      </c>
      <c r="I13" s="53">
        <f>D13*(1/(1+Faktory!$D$3)^H13)</f>
        <v>-238062.29741291594</v>
      </c>
      <c r="J13" s="60">
        <f>G13*(1/(1+Faktory!$D$5)^H13)</f>
        <v>1091061.5707690136</v>
      </c>
      <c r="K13" s="57">
        <f t="shared" si="2"/>
        <v>4584332.6177426539</v>
      </c>
      <c r="L13" s="31" t="str">
        <f t="shared" si="3"/>
        <v>&gt;</v>
      </c>
    </row>
    <row r="14" spans="1:13" ht="15.75" thickBot="1" x14ac:dyDescent="0.3">
      <c r="A14" s="62" t="s">
        <v>35</v>
      </c>
      <c r="B14" s="44">
        <f t="shared" ref="B14:G14" si="4">SUM(B4:B13)</f>
        <v>-315647.99999999994</v>
      </c>
      <c r="C14" s="45">
        <f t="shared" si="4"/>
        <v>-8220005.8859999981</v>
      </c>
      <c r="D14" s="45">
        <f t="shared" si="4"/>
        <v>-7904357.885999999</v>
      </c>
      <c r="E14" s="45">
        <f t="shared" si="4"/>
        <v>-16043058.030236335</v>
      </c>
      <c r="F14" s="45">
        <f t="shared" si="4"/>
        <v>-8805312.2678429876</v>
      </c>
      <c r="G14" s="46">
        <f t="shared" si="4"/>
        <v>7237745.7623933451</v>
      </c>
      <c r="H14" s="63" t="s">
        <v>35</v>
      </c>
      <c r="I14" s="145">
        <f>SUM(I4:I13)</f>
        <v>-7107218.8512853561</v>
      </c>
      <c r="J14" s="146">
        <f>SUM(J4:J13)</f>
        <v>4584332.6177426539</v>
      </c>
      <c r="K14" s="696">
        <f>J14/J15-1</f>
        <v>-0.24505819265018902</v>
      </c>
      <c r="L14" s="7"/>
    </row>
    <row r="15" spans="1:13" ht="15.75" thickBot="1" x14ac:dyDescent="0.3">
      <c r="J15" s="825">
        <v>6072431.7730339319</v>
      </c>
      <c r="K15" s="693" t="s">
        <v>551</v>
      </c>
    </row>
    <row r="16" spans="1:13" ht="15.75" thickBot="1" x14ac:dyDescent="0.3">
      <c r="H16" s="101" t="s">
        <v>169</v>
      </c>
      <c r="J16" s="156" t="s">
        <v>158</v>
      </c>
      <c r="K16" s="156" t="s">
        <v>167</v>
      </c>
    </row>
    <row r="17" spans="2:11" s="116" customFormat="1" ht="15.75" thickBot="1" x14ac:dyDescent="0.25">
      <c r="H17" s="150" t="s">
        <v>117</v>
      </c>
      <c r="I17" s="152" t="s">
        <v>164</v>
      </c>
      <c r="J17" s="153">
        <f>'Prínosy - Agendové IS'!V15/('Výdavky - Agendové IS'!V15/1.2)</f>
        <v>1.792991339096258</v>
      </c>
      <c r="K17" s="157">
        <v>1</v>
      </c>
    </row>
    <row r="18" spans="2:11" s="116" customFormat="1" ht="23.25" thickBot="1" x14ac:dyDescent="0.25">
      <c r="H18" s="151" t="s">
        <v>161</v>
      </c>
      <c r="I18" s="152" t="s">
        <v>165</v>
      </c>
      <c r="J18" s="154" t="s">
        <v>294</v>
      </c>
      <c r="K18" s="158" t="s">
        <v>168</v>
      </c>
    </row>
    <row r="19" spans="2:11" s="116" customFormat="1" ht="23.25" thickBot="1" x14ac:dyDescent="0.25">
      <c r="E19" s="147"/>
      <c r="H19" s="151" t="s">
        <v>162</v>
      </c>
      <c r="I19" s="152" t="s">
        <v>166</v>
      </c>
      <c r="J19" s="154">
        <f>IRR($G$4:$G$13,0.01)</f>
        <v>0.24124724608452341</v>
      </c>
      <c r="K19" s="158">
        <v>0.05</v>
      </c>
    </row>
    <row r="20" spans="2:11" ht="15.75" thickBot="1" x14ac:dyDescent="0.3">
      <c r="H20" s="148"/>
      <c r="I20" s="149"/>
      <c r="J20" s="148"/>
      <c r="K20" s="159"/>
    </row>
    <row r="21" spans="2:11" s="116" customFormat="1" ht="23.25" thickBot="1" x14ac:dyDescent="0.25">
      <c r="H21" s="151" t="s">
        <v>163</v>
      </c>
      <c r="I21" s="152" t="s">
        <v>303</v>
      </c>
      <c r="J21" s="155">
        <f>I14</f>
        <v>-7107218.8512853561</v>
      </c>
      <c r="K21" s="160" t="s">
        <v>168</v>
      </c>
    </row>
    <row r="22" spans="2:11" s="116" customFormat="1" ht="23.25" thickBot="1" x14ac:dyDescent="0.25">
      <c r="H22" s="151" t="s">
        <v>71</v>
      </c>
      <c r="I22" s="152" t="s">
        <v>302</v>
      </c>
      <c r="J22" s="155">
        <f>J14</f>
        <v>4584332.6177426539</v>
      </c>
      <c r="K22" s="160">
        <v>0</v>
      </c>
    </row>
    <row r="24" spans="2:11" x14ac:dyDescent="0.25">
      <c r="B24" t="s">
        <v>634</v>
      </c>
    </row>
  </sheetData>
  <mergeCells count="6">
    <mergeCell ref="K3:L3"/>
    <mergeCell ref="B1:G1"/>
    <mergeCell ref="H1:L1"/>
    <mergeCell ref="B2:D2"/>
    <mergeCell ref="E2:G2"/>
    <mergeCell ref="K2:L2"/>
  </mergeCells>
  <conditionalFormatting sqref="L4:L13">
    <cfRule type="cellIs" dxfId="54" priority="1" stopIfTrue="1" operator="equal">
      <formula>"Rok návratu investície"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D18"/>
  <sheetViews>
    <sheetView showGridLines="0" zoomScaleNormal="100" workbookViewId="0">
      <selection activeCell="C47" sqref="C47"/>
    </sheetView>
  </sheetViews>
  <sheetFormatPr defaultRowHeight="15" x14ac:dyDescent="0.25"/>
  <cols>
    <col min="1" max="1" width="3.5703125" customWidth="1"/>
    <col min="2" max="2" width="11.5703125" style="622" customWidth="1"/>
    <col min="3" max="3" width="12.5703125" style="622" customWidth="1"/>
    <col min="4" max="4" width="14.85546875" style="227" customWidth="1"/>
  </cols>
  <sheetData>
    <row r="1" spans="1:4" x14ac:dyDescent="0.25">
      <c r="B1" s="1259" t="s">
        <v>481</v>
      </c>
      <c r="C1" s="1260"/>
    </row>
    <row r="2" spans="1:4" ht="45" x14ac:dyDescent="0.25">
      <c r="B2" s="641" t="s">
        <v>482</v>
      </c>
      <c r="C2" s="642" t="s">
        <v>483</v>
      </c>
    </row>
    <row r="3" spans="1:4" x14ac:dyDescent="0.25">
      <c r="B3" s="623">
        <f>'Výdavky - Agendové IS'!V14</f>
        <v>7904357.885999999</v>
      </c>
      <c r="C3" s="623">
        <f>B3/1.2</f>
        <v>6586964.9049999993</v>
      </c>
    </row>
    <row r="6" spans="1:4" x14ac:dyDescent="0.25">
      <c r="A6" s="624"/>
      <c r="B6" s="1261" t="s">
        <v>18</v>
      </c>
      <c r="C6" s="1262"/>
      <c r="D6" s="626"/>
    </row>
    <row r="7" spans="1:4" x14ac:dyDescent="0.25">
      <c r="A7" s="624"/>
      <c r="B7" s="627" t="s">
        <v>478</v>
      </c>
      <c r="C7" s="627" t="s">
        <v>479</v>
      </c>
      <c r="D7" s="628" t="s">
        <v>480</v>
      </c>
    </row>
    <row r="8" spans="1:4" x14ac:dyDescent="0.25">
      <c r="A8" s="629">
        <v>1</v>
      </c>
      <c r="B8" s="630">
        <f>'Prínosy - Agendové IS'!V4</f>
        <v>0</v>
      </c>
      <c r="C8" s="630">
        <f>B8</f>
        <v>0</v>
      </c>
      <c r="D8" s="631">
        <f>IF(C8&gt;C$3,1,0)</f>
        <v>0</v>
      </c>
    </row>
    <row r="9" spans="1:4" x14ac:dyDescent="0.25">
      <c r="A9" s="632">
        <v>2</v>
      </c>
      <c r="B9" s="633">
        <f>'Prínosy - Agendové IS'!V5</f>
        <v>0</v>
      </c>
      <c r="C9" s="633">
        <f>C8+B9</f>
        <v>0</v>
      </c>
      <c r="D9" s="634">
        <f>IF(AND(C9&gt;C$3,SUM(D$8:D8)=0),1,0)</f>
        <v>0</v>
      </c>
    </row>
    <row r="10" spans="1:4" x14ac:dyDescent="0.25">
      <c r="A10" s="632">
        <v>3</v>
      </c>
      <c r="B10" s="633">
        <f>'Prínosy - Agendové IS'!V6</f>
        <v>0</v>
      </c>
      <c r="C10" s="633">
        <f t="shared" ref="C10:C17" si="0">C9+B10</f>
        <v>0</v>
      </c>
      <c r="D10" s="634">
        <f>IF(AND(C10&gt;C$3,SUM(D$8:D9)=0),1,0)</f>
        <v>0</v>
      </c>
    </row>
    <row r="11" spans="1:4" x14ac:dyDescent="0.25">
      <c r="A11" s="632">
        <v>4</v>
      </c>
      <c r="B11" s="633">
        <f>'Prínosy - Agendové IS'!V7</f>
        <v>1974958.6667704778</v>
      </c>
      <c r="C11" s="633">
        <f t="shared" si="0"/>
        <v>1974958.6667704778</v>
      </c>
      <c r="D11" s="634">
        <f>IF(AND(C11&gt;C$3,SUM(D$8:D10)=0),1,0)</f>
        <v>0</v>
      </c>
    </row>
    <row r="12" spans="1:4" x14ac:dyDescent="0.25">
      <c r="A12" s="632">
        <v>5</v>
      </c>
      <c r="B12" s="633">
        <f>'Prínosy - Agendové IS'!V8</f>
        <v>1974958.6667704778</v>
      </c>
      <c r="C12" s="633">
        <f t="shared" si="0"/>
        <v>3949917.3335409556</v>
      </c>
      <c r="D12" s="634">
        <f>IF(AND(C12&gt;C$3,SUM(D$8:D11)=0),1,0)</f>
        <v>0</v>
      </c>
    </row>
    <row r="13" spans="1:4" x14ac:dyDescent="0.25">
      <c r="A13" s="632">
        <v>6</v>
      </c>
      <c r="B13" s="633">
        <f>'Prínosy - Agendové IS'!V9</f>
        <v>1974958.6667704778</v>
      </c>
      <c r="C13" s="633">
        <f t="shared" si="0"/>
        <v>5924876.0003114333</v>
      </c>
      <c r="D13" s="634">
        <f>IF(AND(C13&gt;C$3,SUM(D$8:D12)=0),1,0)</f>
        <v>0</v>
      </c>
    </row>
    <row r="14" spans="1:4" x14ac:dyDescent="0.25">
      <c r="A14" s="632">
        <v>7</v>
      </c>
      <c r="B14" s="633">
        <f>'Prínosy - Agendové IS'!V10</f>
        <v>1974958.6667704778</v>
      </c>
      <c r="C14" s="633">
        <f t="shared" si="0"/>
        <v>7899834.6670819111</v>
      </c>
      <c r="D14" s="634">
        <f>IF(AND(C14&gt;C$3,SUM(D$8:D13)=0),1,0)</f>
        <v>1</v>
      </c>
    </row>
    <row r="15" spans="1:4" x14ac:dyDescent="0.25">
      <c r="A15" s="632">
        <v>8</v>
      </c>
      <c r="B15" s="633">
        <f>'Prínosy - Agendové IS'!V11</f>
        <v>1974958.6667704778</v>
      </c>
      <c r="C15" s="633">
        <f t="shared" si="0"/>
        <v>9874793.333852388</v>
      </c>
      <c r="D15" s="634">
        <f>IF(AND(C15&gt;C$3,SUM(D$8:D14)=0),1,0)</f>
        <v>0</v>
      </c>
    </row>
    <row r="16" spans="1:4" x14ac:dyDescent="0.25">
      <c r="A16" s="632">
        <v>9</v>
      </c>
      <c r="B16" s="633">
        <f>'Prínosy - Agendové IS'!V12</f>
        <v>1974958.6667704778</v>
      </c>
      <c r="C16" s="633">
        <f t="shared" si="0"/>
        <v>11849752.000622865</v>
      </c>
      <c r="D16" s="634">
        <f>IF(AND(C16&gt;C$3,SUM(D$8:D15)=0),1,0)</f>
        <v>0</v>
      </c>
    </row>
    <row r="17" spans="1:4" x14ac:dyDescent="0.25">
      <c r="A17" s="635">
        <v>10</v>
      </c>
      <c r="B17" s="636">
        <f>'Prínosy - Agendové IS'!V13</f>
        <v>1974958.6667704778</v>
      </c>
      <c r="C17" s="636">
        <f t="shared" si="0"/>
        <v>13824710.667393342</v>
      </c>
      <c r="D17" s="637">
        <f>IF(AND(C17&gt;C$3,SUM(D$8:D16)=0),1,0)</f>
        <v>0</v>
      </c>
    </row>
    <row r="18" spans="1:4" x14ac:dyDescent="0.25">
      <c r="A18" s="638"/>
      <c r="B18" s="625">
        <f>SUM(B8:B17)</f>
        <v>13824710.667393342</v>
      </c>
      <c r="C18" s="639"/>
      <c r="D18" s="640"/>
    </row>
  </sheetData>
  <mergeCells count="2">
    <mergeCell ref="B1:C1"/>
    <mergeCell ref="B6:C6"/>
  </mergeCells>
  <pageMargins left="0.7" right="0.7" top="0.75" bottom="0.75" header="0.3" footer="0.3"/>
  <pageSetup paperSize="9" orientation="portrait" horizontalDpi="150" verticalDpi="15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R53"/>
  <sheetViews>
    <sheetView showGridLines="0" zoomScaleNormal="100" workbookViewId="0">
      <selection activeCell="C47" sqref="C47"/>
    </sheetView>
  </sheetViews>
  <sheetFormatPr defaultColWidth="8.85546875" defaultRowHeight="15" x14ac:dyDescent="0.25"/>
  <cols>
    <col min="1" max="1" width="7.85546875" style="61" customWidth="1"/>
    <col min="2" max="2" width="12.5703125" style="61" customWidth="1"/>
    <col min="3" max="3" width="14" style="61" customWidth="1"/>
    <col min="4" max="4" width="9.42578125" style="61" customWidth="1"/>
    <col min="5" max="5" width="11.85546875" style="61" customWidth="1"/>
    <col min="6" max="6" width="11.5703125" style="61" customWidth="1"/>
    <col min="7" max="7" width="9.5703125" customWidth="1"/>
    <col min="8" max="8" width="11.42578125" customWidth="1"/>
    <col min="9" max="9" width="10.85546875" customWidth="1"/>
    <col min="10" max="10" width="9.42578125" customWidth="1"/>
    <col min="11" max="11" width="12.5703125" customWidth="1"/>
    <col min="12" max="12" width="11.42578125" customWidth="1"/>
    <col min="13" max="13" width="10.42578125" customWidth="1"/>
    <col min="14" max="14" width="13.42578125" customWidth="1"/>
    <col min="15" max="15" width="11.42578125" customWidth="1"/>
    <col min="16" max="16" width="9.5703125" customWidth="1"/>
    <col min="17" max="17" width="14.5703125" customWidth="1"/>
    <col min="18" max="18" width="15.5703125" customWidth="1"/>
  </cols>
  <sheetData>
    <row r="2" spans="1:18" x14ac:dyDescent="0.25">
      <c r="A2" s="186" t="s">
        <v>117</v>
      </c>
      <c r="B2" s="187">
        <f>'CBA - Agendové IS'!J17</f>
        <v>1.792991339096258</v>
      </c>
    </row>
    <row r="5" spans="1:18" ht="30" customHeight="1" x14ac:dyDescent="0.25">
      <c r="B5" s="1271" t="s">
        <v>186</v>
      </c>
      <c r="C5" s="1272"/>
      <c r="D5" s="194"/>
      <c r="E5" s="1271" t="s">
        <v>187</v>
      </c>
      <c r="F5" s="1272"/>
      <c r="H5" s="1269" t="s">
        <v>182</v>
      </c>
      <c r="I5" s="1270"/>
      <c r="J5" s="61"/>
      <c r="K5" s="1271" t="s">
        <v>185</v>
      </c>
      <c r="L5" s="1272"/>
      <c r="N5" s="1269" t="s">
        <v>183</v>
      </c>
      <c r="O5" s="1270"/>
      <c r="Q5" s="1269" t="s">
        <v>184</v>
      </c>
      <c r="R5" s="1270"/>
    </row>
    <row r="6" spans="1:18" x14ac:dyDescent="0.25">
      <c r="B6" s="189" t="s">
        <v>12</v>
      </c>
      <c r="C6" s="188" t="s">
        <v>117</v>
      </c>
      <c r="D6" s="195"/>
      <c r="E6" s="189" t="s">
        <v>12</v>
      </c>
      <c r="F6" s="188" t="s">
        <v>117</v>
      </c>
      <c r="H6" s="189" t="s">
        <v>12</v>
      </c>
      <c r="I6" s="188" t="s">
        <v>117</v>
      </c>
      <c r="J6" s="61"/>
      <c r="K6" s="189" t="s">
        <v>12</v>
      </c>
      <c r="L6" s="188" t="s">
        <v>117</v>
      </c>
      <c r="N6" s="190" t="s">
        <v>12</v>
      </c>
      <c r="O6" s="191" t="s">
        <v>117</v>
      </c>
      <c r="Q6" s="190" t="s">
        <v>12</v>
      </c>
      <c r="R6" s="191" t="s">
        <v>117</v>
      </c>
    </row>
    <row r="7" spans="1:18" ht="15" customHeight="1" x14ac:dyDescent="0.25">
      <c r="B7" s="182">
        <v>0</v>
      </c>
      <c r="C7" s="174">
        <f>B2</f>
        <v>1.792991339096258</v>
      </c>
      <c r="D7" s="192"/>
      <c r="E7" s="182">
        <v>0</v>
      </c>
      <c r="F7" s="174">
        <f>B2</f>
        <v>1.792991339096258</v>
      </c>
      <c r="H7" s="182">
        <v>0</v>
      </c>
      <c r="I7" s="174">
        <f>B2</f>
        <v>1.792991339096258</v>
      </c>
      <c r="J7" s="61"/>
      <c r="K7" s="182">
        <v>0</v>
      </c>
      <c r="L7" s="174">
        <f>B2</f>
        <v>1.792991339096258</v>
      </c>
      <c r="N7" s="184">
        <v>0</v>
      </c>
      <c r="O7" s="176">
        <f>B2</f>
        <v>1.792991339096258</v>
      </c>
      <c r="Q7" s="184">
        <v>0</v>
      </c>
      <c r="R7" s="176">
        <f>B2</f>
        <v>1.792991339096258</v>
      </c>
    </row>
    <row r="8" spans="1:18" x14ac:dyDescent="0.25">
      <c r="B8" s="182">
        <v>0.1</v>
      </c>
      <c r="C8" s="178">
        <f t="dataTable" ref="C8:C17" dt2D="0" dtr="0" r1="B7"/>
        <v>1.6245438759456412</v>
      </c>
      <c r="D8" s="193"/>
      <c r="E8" s="182">
        <v>0.1</v>
      </c>
      <c r="F8" s="178">
        <f t="dataTable" ref="F8:F17" dt2D="0" dtr="0" r1="E7" ca="1"/>
        <v>1.6883924070619356</v>
      </c>
      <c r="H8" s="182">
        <v>-0.1</v>
      </c>
      <c r="I8" s="178">
        <f t="dataTable" ref="I8:I17" dt2D="0" dtr="0" r1="H7" ca="1"/>
        <v>1.4080812603339172</v>
      </c>
      <c r="J8" s="61"/>
      <c r="K8" s="182">
        <v>-0.1</v>
      </c>
      <c r="L8" s="178">
        <f t="dataTable" ref="L8:L17" dt2D="0" dtr="0" r1="K7" ca="1"/>
        <v>1.7008473145252645</v>
      </c>
      <c r="N8" s="184">
        <v>-0.1</v>
      </c>
      <c r="O8" s="180">
        <f t="dataTable" ref="O8:O17" dt2D="0" dtr="0" r1="N7" ca="1"/>
        <v>2.2138435363078157</v>
      </c>
      <c r="Q8" s="184">
        <v>-0.1</v>
      </c>
      <c r="R8" s="180">
        <f t="dataTable" ref="R8:R17" dt2D="0" dtr="0" r1="Q7" ca="1"/>
        <v>1.792991339096258</v>
      </c>
    </row>
    <row r="9" spans="1:18" x14ac:dyDescent="0.25">
      <c r="A9" s="177"/>
      <c r="B9" s="182">
        <v>0.2</v>
      </c>
      <c r="C9" s="178">
        <v>1.4850287942788356</v>
      </c>
      <c r="D9" s="193"/>
      <c r="E9" s="182">
        <v>0.2</v>
      </c>
      <c r="F9" s="178">
        <v>1.5953248754033142</v>
      </c>
      <c r="H9" s="182">
        <v>-0.2</v>
      </c>
      <c r="I9" s="178">
        <v>1.023171181571576</v>
      </c>
      <c r="J9" s="61"/>
      <c r="K9" s="182">
        <v>-0.2</v>
      </c>
      <c r="L9" s="178">
        <v>1.6087032899542717</v>
      </c>
      <c r="N9" s="184">
        <v>-0.2</v>
      </c>
      <c r="O9" s="180">
        <v>2.6346957335193744</v>
      </c>
      <c r="Q9" s="184">
        <v>-0.2</v>
      </c>
      <c r="R9" s="180">
        <v>1.792991339096258</v>
      </c>
    </row>
    <row r="10" spans="1:18" x14ac:dyDescent="0.25">
      <c r="A10" s="177"/>
      <c r="B10" s="182">
        <v>0.3</v>
      </c>
      <c r="C10" s="178">
        <v>1.3675815215460803</v>
      </c>
      <c r="D10" s="193"/>
      <c r="E10" s="182">
        <v>0.3</v>
      </c>
      <c r="F10" s="178">
        <v>1.5119814641256981</v>
      </c>
      <c r="H10" s="182">
        <v>-0.3</v>
      </c>
      <c r="I10" s="178">
        <v>0.63826110280923398</v>
      </c>
      <c r="J10" s="61"/>
      <c r="K10" s="182">
        <v>-0.3</v>
      </c>
      <c r="L10" s="178">
        <v>1.5165592653832789</v>
      </c>
      <c r="N10" s="184">
        <v>-0.3</v>
      </c>
      <c r="O10" s="180">
        <v>3.0555479307309326</v>
      </c>
      <c r="Q10" s="184">
        <v>-0.3</v>
      </c>
      <c r="R10" s="180">
        <v>1.792991339096258</v>
      </c>
    </row>
    <row r="11" spans="1:18" x14ac:dyDescent="0.25">
      <c r="A11" s="177"/>
      <c r="B11" s="182">
        <v>0.4</v>
      </c>
      <c r="C11" s="178">
        <v>1.2673499341596723</v>
      </c>
      <c r="D11" s="193"/>
      <c r="E11" s="182">
        <v>0.4</v>
      </c>
      <c r="F11" s="178">
        <v>1.4369138084080129</v>
      </c>
      <c r="H11" s="182">
        <v>-0.4</v>
      </c>
      <c r="I11" s="178">
        <v>0.25335102404689291</v>
      </c>
      <c r="J11" s="61"/>
      <c r="K11" s="182">
        <v>-0.4</v>
      </c>
      <c r="L11" s="178">
        <v>1.4244152408122857</v>
      </c>
      <c r="N11" s="184">
        <v>-0.4</v>
      </c>
      <c r="O11" s="180">
        <v>3.4764001279424912</v>
      </c>
      <c r="Q11" s="184">
        <v>-0.4</v>
      </c>
      <c r="R11" s="180">
        <v>1.792991339096258</v>
      </c>
    </row>
    <row r="12" spans="1:18" x14ac:dyDescent="0.25">
      <c r="A12" s="177"/>
      <c r="B12" s="182">
        <v>0.5</v>
      </c>
      <c r="C12" s="178">
        <v>1.1808072436074204</v>
      </c>
      <c r="D12" s="193"/>
      <c r="E12" s="182">
        <v>0.5</v>
      </c>
      <c r="F12" s="178">
        <v>1.368947574901513</v>
      </c>
      <c r="H12" s="182">
        <v>-0.5</v>
      </c>
      <c r="I12" s="178">
        <v>-0.13155905471544813</v>
      </c>
      <c r="J12" s="61"/>
      <c r="K12" s="182">
        <v>-0.5</v>
      </c>
      <c r="L12" s="178">
        <v>1.3322712162412929</v>
      </c>
      <c r="N12" s="184">
        <v>-0.5</v>
      </c>
      <c r="O12" s="180">
        <v>3.8972523251540498</v>
      </c>
      <c r="Q12" s="184">
        <v>-0.5</v>
      </c>
      <c r="R12" s="180">
        <v>1.792991339096258</v>
      </c>
    </row>
    <row r="13" spans="1:18" x14ac:dyDescent="0.25">
      <c r="A13" s="177"/>
      <c r="B13" s="182">
        <v>0.6</v>
      </c>
      <c r="C13" s="178">
        <v>1.1053284101902441</v>
      </c>
      <c r="D13" s="193"/>
      <c r="E13" s="182">
        <v>0.6</v>
      </c>
      <c r="F13" s="178">
        <v>1.3071205800963028</v>
      </c>
      <c r="H13" s="182">
        <v>-0.6</v>
      </c>
      <c r="I13" s="178">
        <v>-0.51646913347778911</v>
      </c>
      <c r="J13" s="61"/>
      <c r="K13" s="182">
        <v>-0.6</v>
      </c>
      <c r="L13" s="178">
        <v>1.2401271916702998</v>
      </c>
      <c r="N13" s="184">
        <v>-0.6</v>
      </c>
      <c r="O13" s="180">
        <v>4.3181045223656076</v>
      </c>
      <c r="Q13" s="184">
        <v>-0.6</v>
      </c>
      <c r="R13" s="180">
        <v>1.792991339096258</v>
      </c>
    </row>
    <row r="14" spans="1:18" x14ac:dyDescent="0.25">
      <c r="A14" s="173"/>
      <c r="B14" s="182">
        <v>0.7</v>
      </c>
      <c r="C14" s="178">
        <v>1.0389192534943297</v>
      </c>
      <c r="D14" s="193"/>
      <c r="E14" s="182">
        <v>0.7</v>
      </c>
      <c r="F14" s="178">
        <v>1.250636952957219</v>
      </c>
      <c r="H14" s="182">
        <v>-0.7</v>
      </c>
      <c r="I14" s="178">
        <v>-0.90137921224013062</v>
      </c>
      <c r="J14" s="61"/>
      <c r="K14" s="182">
        <v>-0.7</v>
      </c>
      <c r="L14" s="178">
        <v>1.1479831670993066</v>
      </c>
      <c r="N14" s="184">
        <v>-0.7</v>
      </c>
      <c r="O14" s="180">
        <v>4.7389567195771658</v>
      </c>
      <c r="Q14" s="184">
        <v>-0.7</v>
      </c>
      <c r="R14" s="180">
        <v>1.792991339096258</v>
      </c>
    </row>
    <row r="15" spans="1:18" x14ac:dyDescent="0.25">
      <c r="A15" s="173"/>
      <c r="B15" s="182">
        <v>0.8</v>
      </c>
      <c r="C15" s="178">
        <v>0.98003768013737513</v>
      </c>
      <c r="D15" s="193"/>
      <c r="E15" s="182">
        <v>0.8</v>
      </c>
      <c r="F15" s="178">
        <v>1.1988326896949237</v>
      </c>
      <c r="H15" s="182">
        <v>-0.8</v>
      </c>
      <c r="I15" s="178">
        <v>-1.2862892910024721</v>
      </c>
      <c r="J15" s="61"/>
      <c r="K15" s="182">
        <v>-0.8</v>
      </c>
      <c r="L15" s="178">
        <v>1.0558391425283131</v>
      </c>
      <c r="N15" s="184">
        <v>-0.8</v>
      </c>
      <c r="O15" s="180">
        <v>5.1598089167887249</v>
      </c>
      <c r="Q15" s="184">
        <v>-0.8</v>
      </c>
      <c r="R15" s="180">
        <v>1.792991339096258</v>
      </c>
    </row>
    <row r="16" spans="1:18" x14ac:dyDescent="0.25">
      <c r="A16" s="173"/>
      <c r="B16" s="182">
        <v>0.9</v>
      </c>
      <c r="C16" s="178">
        <v>0.92747244321630118</v>
      </c>
      <c r="D16" s="193"/>
      <c r="E16" s="182">
        <v>0.9</v>
      </c>
      <c r="F16" s="178">
        <v>1.1511494288375417</v>
      </c>
      <c r="H16" s="182">
        <v>-0.9</v>
      </c>
      <c r="I16" s="178">
        <v>-1.6711993697648133</v>
      </c>
      <c r="J16" s="61"/>
      <c r="K16" s="182">
        <v>-0.9</v>
      </c>
      <c r="L16" s="178">
        <v>0.96369511795732077</v>
      </c>
      <c r="N16" s="184">
        <v>-0.9</v>
      </c>
      <c r="O16" s="180">
        <v>5.580661114000284</v>
      </c>
      <c r="Q16" s="184">
        <v>-0.9</v>
      </c>
      <c r="R16" s="180">
        <v>1.792991339096258</v>
      </c>
    </row>
    <row r="17" spans="1:18" x14ac:dyDescent="0.25">
      <c r="A17" s="173"/>
      <c r="B17" s="183">
        <v>1</v>
      </c>
      <c r="C17" s="179">
        <v>0.88025893266927202</v>
      </c>
      <c r="D17" s="193"/>
      <c r="E17" s="183">
        <v>1</v>
      </c>
      <c r="F17" s="179">
        <v>1.1071142454315321</v>
      </c>
      <c r="H17" s="183">
        <v>-1</v>
      </c>
      <c r="I17" s="179">
        <v>-2.0561094485271547</v>
      </c>
      <c r="J17" s="61"/>
      <c r="K17" s="183">
        <v>-1</v>
      </c>
      <c r="L17" s="179">
        <v>0.87155109338632741</v>
      </c>
      <c r="N17" s="185">
        <v>-1</v>
      </c>
      <c r="O17" s="181">
        <v>6.0015133112118422</v>
      </c>
      <c r="Q17" s="185">
        <v>-1</v>
      </c>
      <c r="R17" s="181">
        <v>1.792991339096258</v>
      </c>
    </row>
    <row r="18" spans="1:18" x14ac:dyDescent="0.25">
      <c r="A18" s="177"/>
      <c r="N18" s="101"/>
    </row>
    <row r="19" spans="1:18" x14ac:dyDescent="0.25">
      <c r="A19" s="177"/>
    </row>
    <row r="25" spans="1:18" ht="18.75" customHeight="1" x14ac:dyDescent="0.25">
      <c r="D25" s="1263" t="s">
        <v>184</v>
      </c>
      <c r="E25" s="1264"/>
      <c r="F25" s="1264"/>
      <c r="G25" s="1264"/>
      <c r="H25" s="1264"/>
      <c r="I25" s="1264"/>
      <c r="J25" s="1264"/>
      <c r="K25" s="1264"/>
      <c r="L25" s="1264"/>
      <c r="M25" s="1264"/>
      <c r="N25" s="1265"/>
    </row>
    <row r="26" spans="1:18" x14ac:dyDescent="0.25">
      <c r="C26" s="196">
        <f>B2</f>
        <v>1.792991339096258</v>
      </c>
      <c r="D26" s="202">
        <v>0</v>
      </c>
      <c r="E26" s="199">
        <v>-0.1</v>
      </c>
      <c r="F26" s="199">
        <v>-0.2</v>
      </c>
      <c r="G26" s="199">
        <v>-0.3</v>
      </c>
      <c r="H26" s="199">
        <v>-0.4</v>
      </c>
      <c r="I26" s="199">
        <v>-0.5</v>
      </c>
      <c r="J26" s="199">
        <v>-0.6</v>
      </c>
      <c r="K26" s="199">
        <v>-0.7</v>
      </c>
      <c r="L26" s="199">
        <v>-0.8</v>
      </c>
      <c r="M26" s="199">
        <v>-0.9</v>
      </c>
      <c r="N26" s="203">
        <v>-1</v>
      </c>
    </row>
    <row r="27" spans="1:18" ht="14.25" customHeight="1" x14ac:dyDescent="0.25">
      <c r="B27" s="1266" t="s">
        <v>183</v>
      </c>
      <c r="C27" s="204">
        <v>0</v>
      </c>
      <c r="D27" s="193">
        <f t="dataTable" ref="D27:N37" dt2D="1" dtr="1" r1="Q7" r2="N7" ca="1"/>
        <v>1.792991339096258</v>
      </c>
      <c r="E27" s="193">
        <v>1.792991339096258</v>
      </c>
      <c r="F27" s="193">
        <v>1.792991339096258</v>
      </c>
      <c r="G27" s="198">
        <v>1.792991339096258</v>
      </c>
      <c r="H27" s="198">
        <v>1.792991339096258</v>
      </c>
      <c r="I27" s="198">
        <v>1.792991339096258</v>
      </c>
      <c r="J27" s="198">
        <v>1.792991339096258</v>
      </c>
      <c r="K27" s="198">
        <v>1.792991339096258</v>
      </c>
      <c r="L27" s="198">
        <v>1.792991339096258</v>
      </c>
      <c r="M27" s="198">
        <v>1.792991339096258</v>
      </c>
      <c r="N27" s="180">
        <v>1.792991339096258</v>
      </c>
    </row>
    <row r="28" spans="1:18" x14ac:dyDescent="0.25">
      <c r="B28" s="1267"/>
      <c r="C28" s="197">
        <v>-0.1</v>
      </c>
      <c r="D28" s="193">
        <v>2.2138435363078157</v>
      </c>
      <c r="E28" s="193">
        <v>2.2138435363078157</v>
      </c>
      <c r="F28" s="193">
        <v>2.2138435363078157</v>
      </c>
      <c r="G28" s="198">
        <v>2.2138435363078157</v>
      </c>
      <c r="H28" s="198">
        <v>2.2138435363078157</v>
      </c>
      <c r="I28" s="198">
        <v>2.2138435363078157</v>
      </c>
      <c r="J28" s="198">
        <v>2.2138435363078157</v>
      </c>
      <c r="K28" s="198">
        <v>2.2138435363078157</v>
      </c>
      <c r="L28" s="198">
        <v>2.2138435363078157</v>
      </c>
      <c r="M28" s="198">
        <v>2.2138435363078157</v>
      </c>
      <c r="N28" s="180">
        <v>2.2138435363078157</v>
      </c>
    </row>
    <row r="29" spans="1:18" x14ac:dyDescent="0.25">
      <c r="B29" s="1267"/>
      <c r="C29" s="197">
        <v>-0.2</v>
      </c>
      <c r="D29" s="193">
        <v>2.6346957335193744</v>
      </c>
      <c r="E29" s="193">
        <v>2.6346957335193744</v>
      </c>
      <c r="F29" s="193">
        <v>2.6346957335193744</v>
      </c>
      <c r="G29" s="198">
        <v>2.6346957335193744</v>
      </c>
      <c r="H29" s="198">
        <v>2.6346957335193744</v>
      </c>
      <c r="I29" s="198">
        <v>2.6346957335193744</v>
      </c>
      <c r="J29" s="198">
        <v>2.6346957335193744</v>
      </c>
      <c r="K29" s="198">
        <v>2.6346957335193744</v>
      </c>
      <c r="L29" s="198">
        <v>2.6346957335193744</v>
      </c>
      <c r="M29" s="198">
        <v>2.6346957335193744</v>
      </c>
      <c r="N29" s="180">
        <v>2.6346957335193744</v>
      </c>
    </row>
    <row r="30" spans="1:18" x14ac:dyDescent="0.25">
      <c r="B30" s="1267"/>
      <c r="C30" s="197">
        <v>-0.3</v>
      </c>
      <c r="D30" s="193">
        <v>3.0555479307309326</v>
      </c>
      <c r="E30" s="193">
        <v>3.0555479307309326</v>
      </c>
      <c r="F30" s="193">
        <v>3.0555479307309326</v>
      </c>
      <c r="G30" s="198">
        <v>3.0555479307309326</v>
      </c>
      <c r="H30" s="198">
        <v>3.0555479307309326</v>
      </c>
      <c r="I30" s="198">
        <v>3.0555479307309326</v>
      </c>
      <c r="J30" s="198">
        <v>3.0555479307309326</v>
      </c>
      <c r="K30" s="198">
        <v>3.0555479307309326</v>
      </c>
      <c r="L30" s="198">
        <v>3.0555479307309326</v>
      </c>
      <c r="M30" s="198">
        <v>3.0555479307309326</v>
      </c>
      <c r="N30" s="180">
        <v>3.0555479307309326</v>
      </c>
    </row>
    <row r="31" spans="1:18" x14ac:dyDescent="0.25">
      <c r="B31" s="1267"/>
      <c r="C31" s="197">
        <v>-0.4</v>
      </c>
      <c r="D31" s="193">
        <v>3.4764001279424912</v>
      </c>
      <c r="E31" s="193">
        <v>3.4764001279424912</v>
      </c>
      <c r="F31" s="193">
        <v>3.4764001279424912</v>
      </c>
      <c r="G31" s="198">
        <v>3.4764001279424912</v>
      </c>
      <c r="H31" s="198">
        <v>3.4764001279424912</v>
      </c>
      <c r="I31" s="198">
        <v>3.4764001279424912</v>
      </c>
      <c r="J31" s="198">
        <v>3.4764001279424912</v>
      </c>
      <c r="K31" s="198">
        <v>3.4764001279424912</v>
      </c>
      <c r="L31" s="198">
        <v>3.4764001279424912</v>
      </c>
      <c r="M31" s="198">
        <v>3.4764001279424912</v>
      </c>
      <c r="N31" s="180">
        <v>3.4764001279424912</v>
      </c>
    </row>
    <row r="32" spans="1:18" x14ac:dyDescent="0.25">
      <c r="B32" s="1267"/>
      <c r="C32" s="197">
        <v>-0.5</v>
      </c>
      <c r="D32" s="193">
        <v>3.8972523251540498</v>
      </c>
      <c r="E32" s="193">
        <v>3.8972523251540498</v>
      </c>
      <c r="F32" s="193">
        <v>3.8972523251540498</v>
      </c>
      <c r="G32" s="198">
        <v>3.8972523251540498</v>
      </c>
      <c r="H32" s="198">
        <v>3.8972523251540498</v>
      </c>
      <c r="I32" s="198">
        <v>3.8972523251540498</v>
      </c>
      <c r="J32" s="198">
        <v>3.8972523251540498</v>
      </c>
      <c r="K32" s="198">
        <v>3.8972523251540498</v>
      </c>
      <c r="L32" s="198">
        <v>3.8972523251540498</v>
      </c>
      <c r="M32" s="198">
        <v>3.8972523251540498</v>
      </c>
      <c r="N32" s="180">
        <v>3.8972523251540498</v>
      </c>
    </row>
    <row r="33" spans="2:14" x14ac:dyDescent="0.25">
      <c r="B33" s="1267"/>
      <c r="C33" s="197">
        <v>-0.6</v>
      </c>
      <c r="D33" s="193">
        <v>4.3181045223656076</v>
      </c>
      <c r="E33" s="193">
        <v>4.3181045223656076</v>
      </c>
      <c r="F33" s="193">
        <v>4.3181045223656076</v>
      </c>
      <c r="G33" s="198">
        <v>4.3181045223656076</v>
      </c>
      <c r="H33" s="198">
        <v>4.3181045223656076</v>
      </c>
      <c r="I33" s="198">
        <v>4.3181045223656076</v>
      </c>
      <c r="J33" s="198">
        <v>4.3181045223656076</v>
      </c>
      <c r="K33" s="198">
        <v>4.3181045223656076</v>
      </c>
      <c r="L33" s="198">
        <v>4.3181045223656076</v>
      </c>
      <c r="M33" s="198">
        <v>4.3181045223656076</v>
      </c>
      <c r="N33" s="180">
        <v>4.3181045223656076</v>
      </c>
    </row>
    <row r="34" spans="2:14" x14ac:dyDescent="0.25">
      <c r="B34" s="1267"/>
      <c r="C34" s="197">
        <v>-0.7</v>
      </c>
      <c r="D34" s="193">
        <v>4.7389567195771658</v>
      </c>
      <c r="E34" s="193">
        <v>4.7389567195771658</v>
      </c>
      <c r="F34" s="193">
        <v>4.7389567195771658</v>
      </c>
      <c r="G34" s="198">
        <v>4.7389567195771658</v>
      </c>
      <c r="H34" s="198">
        <v>4.7389567195771658</v>
      </c>
      <c r="I34" s="198">
        <v>4.7389567195771658</v>
      </c>
      <c r="J34" s="198">
        <v>4.7389567195771658</v>
      </c>
      <c r="K34" s="198">
        <v>4.7389567195771658</v>
      </c>
      <c r="L34" s="198">
        <v>4.7389567195771658</v>
      </c>
      <c r="M34" s="198">
        <v>4.7389567195771658</v>
      </c>
      <c r="N34" s="180">
        <v>4.7389567195771658</v>
      </c>
    </row>
    <row r="35" spans="2:14" x14ac:dyDescent="0.25">
      <c r="B35" s="1267"/>
      <c r="C35" s="197">
        <v>-0.8</v>
      </c>
      <c r="D35" s="193">
        <v>5.1598089167887249</v>
      </c>
      <c r="E35" s="193">
        <v>5.1598089167887249</v>
      </c>
      <c r="F35" s="193">
        <v>5.1598089167887249</v>
      </c>
      <c r="G35" s="198">
        <v>5.1598089167887249</v>
      </c>
      <c r="H35" s="198">
        <v>5.1598089167887249</v>
      </c>
      <c r="I35" s="198">
        <v>5.1598089167887249</v>
      </c>
      <c r="J35" s="198">
        <v>5.1598089167887249</v>
      </c>
      <c r="K35" s="198">
        <v>5.1598089167887249</v>
      </c>
      <c r="L35" s="198">
        <v>5.1598089167887249</v>
      </c>
      <c r="M35" s="198">
        <v>5.1598089167887249</v>
      </c>
      <c r="N35" s="180">
        <v>5.1598089167887249</v>
      </c>
    </row>
    <row r="36" spans="2:14" x14ac:dyDescent="0.25">
      <c r="B36" s="1267"/>
      <c r="C36" s="197">
        <v>-0.9</v>
      </c>
      <c r="D36" s="193">
        <v>5.580661114000284</v>
      </c>
      <c r="E36" s="193">
        <v>5.580661114000284</v>
      </c>
      <c r="F36" s="193">
        <v>5.580661114000284</v>
      </c>
      <c r="G36" s="198">
        <v>5.580661114000284</v>
      </c>
      <c r="H36" s="198">
        <v>5.580661114000284</v>
      </c>
      <c r="I36" s="198">
        <v>5.580661114000284</v>
      </c>
      <c r="J36" s="198">
        <v>5.580661114000284</v>
      </c>
      <c r="K36" s="198">
        <v>5.580661114000284</v>
      </c>
      <c r="L36" s="198">
        <v>5.580661114000284</v>
      </c>
      <c r="M36" s="198">
        <v>5.580661114000284</v>
      </c>
      <c r="N36" s="180">
        <v>5.580661114000284</v>
      </c>
    </row>
    <row r="37" spans="2:14" x14ac:dyDescent="0.25">
      <c r="B37" s="1268"/>
      <c r="C37" s="203">
        <v>-1</v>
      </c>
      <c r="D37" s="200">
        <v>6.0015133112118422</v>
      </c>
      <c r="E37" s="200">
        <v>6.0015133112118422</v>
      </c>
      <c r="F37" s="200">
        <v>6.0015133112118422</v>
      </c>
      <c r="G37" s="201">
        <v>6.0015133112118422</v>
      </c>
      <c r="H37" s="201">
        <v>6.0015133112118422</v>
      </c>
      <c r="I37" s="201">
        <v>6.0015133112118422</v>
      </c>
      <c r="J37" s="201">
        <v>6.0015133112118422</v>
      </c>
      <c r="K37" s="201">
        <v>6.0015133112118422</v>
      </c>
      <c r="L37" s="201">
        <v>6.0015133112118422</v>
      </c>
      <c r="M37" s="201">
        <v>6.0015133112118422</v>
      </c>
      <c r="N37" s="181">
        <v>6.0015133112118422</v>
      </c>
    </row>
    <row r="41" spans="2:14" x14ac:dyDescent="0.25">
      <c r="D41" s="1263" t="s">
        <v>185</v>
      </c>
      <c r="E41" s="1264"/>
      <c r="F41" s="1264"/>
      <c r="G41" s="1264"/>
      <c r="H41" s="1264"/>
      <c r="I41" s="1264"/>
      <c r="J41" s="1264"/>
      <c r="K41" s="1264"/>
      <c r="L41" s="1264"/>
      <c r="M41" s="1264"/>
      <c r="N41" s="1265"/>
    </row>
    <row r="42" spans="2:14" x14ac:dyDescent="0.25">
      <c r="C42" s="196">
        <f>B2</f>
        <v>1.792991339096258</v>
      </c>
      <c r="D42" s="202">
        <v>0</v>
      </c>
      <c r="E42" s="199">
        <v>-0.1</v>
      </c>
      <c r="F42" s="199">
        <v>-0.2</v>
      </c>
      <c r="G42" s="199">
        <v>-0.3</v>
      </c>
      <c r="H42" s="199">
        <v>-0.4</v>
      </c>
      <c r="I42" s="199">
        <v>-0.5</v>
      </c>
      <c r="J42" s="199">
        <v>-0.6</v>
      </c>
      <c r="K42" s="199">
        <v>-0.7</v>
      </c>
      <c r="L42" s="199">
        <v>-0.8</v>
      </c>
      <c r="M42" s="199">
        <v>-0.9</v>
      </c>
      <c r="N42" s="203">
        <v>-1</v>
      </c>
    </row>
    <row r="43" spans="2:14" x14ac:dyDescent="0.25">
      <c r="B43" s="1266" t="s">
        <v>187</v>
      </c>
      <c r="C43" s="204">
        <v>0</v>
      </c>
      <c r="D43" s="193">
        <f t="dataTable" ref="D43:N53" dt2D="1" dtr="1" r1="K7" r2="E7" ca="1"/>
        <v>1.792991339096258</v>
      </c>
      <c r="E43" s="193">
        <v>1.7008473145252645</v>
      </c>
      <c r="F43" s="193">
        <v>1.6087032899542717</v>
      </c>
      <c r="G43" s="198">
        <v>1.5165592653832789</v>
      </c>
      <c r="H43" s="198">
        <v>1.4244152408122857</v>
      </c>
      <c r="I43" s="198">
        <v>1.3322712162412929</v>
      </c>
      <c r="J43" s="198">
        <v>1.2401271916702998</v>
      </c>
      <c r="K43" s="198">
        <v>1.1479831670993066</v>
      </c>
      <c r="L43" s="198">
        <v>1.0558391425283131</v>
      </c>
      <c r="M43" s="198">
        <v>0.96369511795732077</v>
      </c>
      <c r="N43" s="180">
        <v>0.87155109338632741</v>
      </c>
    </row>
    <row r="44" spans="2:14" x14ac:dyDescent="0.25">
      <c r="B44" s="1267"/>
      <c r="C44" s="197">
        <v>0.1</v>
      </c>
      <c r="D44" s="193">
        <v>1.6883924070619356</v>
      </c>
      <c r="E44" s="193">
        <v>1.6016238499309177</v>
      </c>
      <c r="F44" s="193">
        <v>1.5148552927999006</v>
      </c>
      <c r="G44" s="198">
        <v>1.4280867356688833</v>
      </c>
      <c r="H44" s="198">
        <v>1.3413181785378656</v>
      </c>
      <c r="I44" s="198">
        <v>1.2545496214068486</v>
      </c>
      <c r="J44" s="198">
        <v>1.1677810642758313</v>
      </c>
      <c r="K44" s="198">
        <v>1.0810125071448136</v>
      </c>
      <c r="L44" s="198">
        <v>0.99424395001379584</v>
      </c>
      <c r="M44" s="198">
        <v>0.90747539288277901</v>
      </c>
      <c r="N44" s="180">
        <v>0.82070683575176129</v>
      </c>
    </row>
    <row r="45" spans="2:14" x14ac:dyDescent="0.25">
      <c r="B45" s="1267"/>
      <c r="C45" s="197">
        <v>0.2</v>
      </c>
      <c r="D45" s="193">
        <v>1.5953248754033142</v>
      </c>
      <c r="E45" s="193">
        <v>1.5133391729001588</v>
      </c>
      <c r="F45" s="193">
        <v>1.4313534703970041</v>
      </c>
      <c r="G45" s="198">
        <v>1.3493677678938492</v>
      </c>
      <c r="H45" s="198">
        <v>1.267382065390694</v>
      </c>
      <c r="I45" s="198">
        <v>1.185396362887539</v>
      </c>
      <c r="J45" s="198">
        <v>1.1034106603843841</v>
      </c>
      <c r="K45" s="198">
        <v>1.0214249578812289</v>
      </c>
      <c r="L45" s="198">
        <v>0.93943925537807349</v>
      </c>
      <c r="M45" s="198">
        <v>0.85745355287491898</v>
      </c>
      <c r="N45" s="180">
        <v>0.77546785037176369</v>
      </c>
    </row>
    <row r="46" spans="2:14" x14ac:dyDescent="0.25">
      <c r="B46" s="1267"/>
      <c r="C46" s="197">
        <v>0.3</v>
      </c>
      <c r="D46" s="193">
        <v>1.5119814641256981</v>
      </c>
      <c r="E46" s="193">
        <v>1.4342788817744034</v>
      </c>
      <c r="F46" s="193">
        <v>1.3565762994231094</v>
      </c>
      <c r="G46" s="198">
        <v>1.2788737170718154</v>
      </c>
      <c r="H46" s="198">
        <v>1.2011711347205209</v>
      </c>
      <c r="I46" s="198">
        <v>1.1234685523692269</v>
      </c>
      <c r="J46" s="198">
        <v>1.0457659700179327</v>
      </c>
      <c r="K46" s="198">
        <v>0.96806338766663824</v>
      </c>
      <c r="L46" s="198">
        <v>0.89036080531534367</v>
      </c>
      <c r="M46" s="198">
        <v>0.81265822296404988</v>
      </c>
      <c r="N46" s="180">
        <v>0.73495564061275542</v>
      </c>
    </row>
    <row r="47" spans="2:14" x14ac:dyDescent="0.25">
      <c r="B47" s="1267"/>
      <c r="C47" s="197">
        <v>0.4</v>
      </c>
      <c r="D47" s="193">
        <v>1.4369138084080129</v>
      </c>
      <c r="E47" s="193">
        <v>1.3630690449775968</v>
      </c>
      <c r="F47" s="193">
        <v>1.2892242815471817</v>
      </c>
      <c r="G47" s="198">
        <v>1.2153795181167664</v>
      </c>
      <c r="H47" s="198">
        <v>1.1415347546863506</v>
      </c>
      <c r="I47" s="198">
        <v>1.0676899912559352</v>
      </c>
      <c r="J47" s="198">
        <v>0.99384522782551976</v>
      </c>
      <c r="K47" s="198">
        <v>0.92000046439510408</v>
      </c>
      <c r="L47" s="198">
        <v>0.84615570096468817</v>
      </c>
      <c r="M47" s="198">
        <v>0.77231093753427316</v>
      </c>
      <c r="N47" s="180">
        <v>0.69846617410385747</v>
      </c>
    </row>
    <row r="48" spans="2:14" x14ac:dyDescent="0.25">
      <c r="B48" s="1267"/>
      <c r="C48" s="197">
        <v>0.5</v>
      </c>
      <c r="D48" s="193">
        <v>1.368947574901513</v>
      </c>
      <c r="E48" s="193">
        <v>1.2985956795924665</v>
      </c>
      <c r="F48" s="193">
        <v>1.2282437842834206</v>
      </c>
      <c r="G48" s="198">
        <v>1.1578918889743746</v>
      </c>
      <c r="H48" s="198">
        <v>1.0875399936653283</v>
      </c>
      <c r="I48" s="198">
        <v>1.0171880983562824</v>
      </c>
      <c r="J48" s="198">
        <v>0.94683620304723637</v>
      </c>
      <c r="K48" s="198">
        <v>0.87648430773819008</v>
      </c>
      <c r="L48" s="198">
        <v>0.80613241242914369</v>
      </c>
      <c r="M48" s="198">
        <v>0.73578051712009807</v>
      </c>
      <c r="N48" s="180">
        <v>0.66542862181105178</v>
      </c>
    </row>
    <row r="49" spans="2:14" x14ac:dyDescent="0.25">
      <c r="B49" s="1267"/>
      <c r="C49" s="197">
        <v>0.6</v>
      </c>
      <c r="D49" s="193">
        <v>1.3071205800963028</v>
      </c>
      <c r="E49" s="193">
        <v>1.2399460499001036</v>
      </c>
      <c r="F49" s="193">
        <v>1.1727715197039053</v>
      </c>
      <c r="G49" s="198">
        <v>1.1055969895077067</v>
      </c>
      <c r="H49" s="198">
        <v>1.0384224593115077</v>
      </c>
      <c r="I49" s="198">
        <v>0.97124792911530911</v>
      </c>
      <c r="J49" s="198">
        <v>0.90407339891911043</v>
      </c>
      <c r="K49" s="198">
        <v>0.83689886872291153</v>
      </c>
      <c r="L49" s="198">
        <v>0.76972433852671251</v>
      </c>
      <c r="M49" s="198">
        <v>0.70254980833051417</v>
      </c>
      <c r="N49" s="180">
        <v>0.63537527813431527</v>
      </c>
    </row>
    <row r="50" spans="2:14" x14ac:dyDescent="0.25">
      <c r="B50" s="1267"/>
      <c r="C50" s="197">
        <v>0.7</v>
      </c>
      <c r="D50" s="193">
        <v>1.250636952957219</v>
      </c>
      <c r="E50" s="193">
        <v>1.1863651856542226</v>
      </c>
      <c r="F50" s="193">
        <v>1.122093418351227</v>
      </c>
      <c r="G50" s="198">
        <v>1.057821651048231</v>
      </c>
      <c r="H50" s="198">
        <v>0.9935498837452349</v>
      </c>
      <c r="I50" s="198">
        <v>0.92927811644223912</v>
      </c>
      <c r="J50" s="198">
        <v>0.86500634913924312</v>
      </c>
      <c r="K50" s="198">
        <v>0.80073458183624702</v>
      </c>
      <c r="L50" s="198">
        <v>0.7364628145332508</v>
      </c>
      <c r="M50" s="198">
        <v>0.67219104723025525</v>
      </c>
      <c r="N50" s="180">
        <v>0.60791927992725903</v>
      </c>
    </row>
    <row r="51" spans="2:14" x14ac:dyDescent="0.25">
      <c r="B51" s="1267"/>
      <c r="C51" s="197">
        <v>0.8</v>
      </c>
      <c r="D51" s="193">
        <v>1.1988326896949237</v>
      </c>
      <c r="E51" s="193">
        <v>1.1372232070348243</v>
      </c>
      <c r="F51" s="193">
        <v>1.0756137243747255</v>
      </c>
      <c r="G51" s="198">
        <v>1.0140042417146264</v>
      </c>
      <c r="H51" s="198">
        <v>0.95239475905452731</v>
      </c>
      <c r="I51" s="198">
        <v>0.89078527639442839</v>
      </c>
      <c r="J51" s="198">
        <v>0.82917579373432937</v>
      </c>
      <c r="K51" s="198">
        <v>0.76756631107423012</v>
      </c>
      <c r="L51" s="198">
        <v>0.70595682841413077</v>
      </c>
      <c r="M51" s="198">
        <v>0.64434734575403219</v>
      </c>
      <c r="N51" s="180">
        <v>0.58273786309393294</v>
      </c>
    </row>
    <row r="52" spans="2:14" x14ac:dyDescent="0.25">
      <c r="B52" s="1267"/>
      <c r="C52" s="197">
        <v>0.9</v>
      </c>
      <c r="D52" s="193">
        <v>1.1511494288375417</v>
      </c>
      <c r="E52" s="193">
        <v>1.0919904474510749</v>
      </c>
      <c r="F52" s="193">
        <v>1.0328314660646087</v>
      </c>
      <c r="G52" s="198">
        <v>0.97367248467814238</v>
      </c>
      <c r="H52" s="198">
        <v>0.9145135032916758</v>
      </c>
      <c r="I52" s="198">
        <v>0.85535452190520955</v>
      </c>
      <c r="J52" s="198">
        <v>0.79619554051874319</v>
      </c>
      <c r="K52" s="198">
        <v>0.73703655913227661</v>
      </c>
      <c r="L52" s="198">
        <v>0.67787757774580992</v>
      </c>
      <c r="M52" s="198">
        <v>0.6187185963593439</v>
      </c>
      <c r="N52" s="180">
        <v>0.55955961497287732</v>
      </c>
    </row>
    <row r="53" spans="2:14" x14ac:dyDescent="0.25">
      <c r="B53" s="1268"/>
      <c r="C53" s="203">
        <v>1</v>
      </c>
      <c r="D53" s="200">
        <v>1.1071142454315321</v>
      </c>
      <c r="E53" s="200">
        <v>1.0502182861429841</v>
      </c>
      <c r="F53" s="200">
        <v>0.99332232685443655</v>
      </c>
      <c r="G53" s="201">
        <v>0.93642636756588882</v>
      </c>
      <c r="H53" s="201">
        <v>0.87953040827734086</v>
      </c>
      <c r="I53" s="201">
        <v>0.82263444898879312</v>
      </c>
      <c r="J53" s="201">
        <v>0.76573848970024538</v>
      </c>
      <c r="K53" s="201">
        <v>0.70884253041169742</v>
      </c>
      <c r="L53" s="201">
        <v>0.65194657112314935</v>
      </c>
      <c r="M53" s="201">
        <v>0.59505061183460195</v>
      </c>
      <c r="N53" s="181">
        <v>0.53815465254605399</v>
      </c>
    </row>
  </sheetData>
  <sheetProtection algorithmName="SHA-512" hashValue="dqd+ettbIsAQzamG7hohEAWj7LYgqtK4GHeDrc5QXa4Nl9dV9iy4G95/67sKKPulFay1zzDhIR6amoURKm9xxg==" saltValue="Jdn/cjq3bnIHWs2UgDdX4Q==" spinCount="100000" sheet="1" objects="1" scenarios="1"/>
  <mergeCells count="10">
    <mergeCell ref="D25:N25"/>
    <mergeCell ref="B27:B37"/>
    <mergeCell ref="D41:N41"/>
    <mergeCell ref="B43:B53"/>
    <mergeCell ref="Q5:R5"/>
    <mergeCell ref="N5:O5"/>
    <mergeCell ref="K5:L5"/>
    <mergeCell ref="B5:C5"/>
    <mergeCell ref="H5:I5"/>
    <mergeCell ref="E5:F5"/>
  </mergeCells>
  <conditionalFormatting sqref="D27:N37">
    <cfRule type="colorScale" priority="2">
      <colorScale>
        <cfvo type="min"/>
        <cfvo type="num" val="1"/>
        <cfvo type="max"/>
        <color rgb="FFF8696B"/>
        <color rgb="FFFFEB84"/>
        <color rgb="FF63BE7B"/>
      </colorScale>
    </cfRule>
  </conditionalFormatting>
  <conditionalFormatting sqref="D43:N53">
    <cfRule type="colorScale" priority="1">
      <colorScale>
        <cfvo type="min"/>
        <cfvo type="num" val="1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V38"/>
  <sheetViews>
    <sheetView showGridLines="0" topLeftCell="D1" zoomScaleNormal="100" workbookViewId="0">
      <pane ySplit="3" topLeftCell="A4" activePane="bottomLeft" state="frozen"/>
      <selection activeCell="C47" sqref="C47"/>
      <selection pane="bottomLeft" activeCell="C47" sqref="C47"/>
    </sheetView>
  </sheetViews>
  <sheetFormatPr defaultColWidth="8.85546875" defaultRowHeight="15" x14ac:dyDescent="0.25"/>
  <cols>
    <col min="1" max="1" width="9.42578125" customWidth="1"/>
    <col min="2" max="3" width="14.42578125" bestFit="1" customWidth="1"/>
    <col min="4" max="4" width="13.42578125" customWidth="1"/>
    <col min="5" max="5" width="11.140625" customWidth="1"/>
    <col min="6" max="6" width="12" customWidth="1"/>
    <col min="8" max="8" width="12" customWidth="1"/>
    <col min="9" max="9" width="14" customWidth="1"/>
    <col min="10" max="10" width="14.85546875" customWidth="1"/>
    <col min="11" max="11" width="13.42578125" customWidth="1"/>
    <col min="12" max="12" width="13.42578125" bestFit="1" customWidth="1"/>
    <col min="13" max="13" width="13.85546875" customWidth="1"/>
    <col min="14" max="15" width="15.140625" customWidth="1"/>
    <col min="16" max="16" width="13.85546875" customWidth="1"/>
    <col min="17" max="17" width="14.5703125" customWidth="1"/>
    <col min="18" max="18" width="14" customWidth="1"/>
    <col min="19" max="19" width="14.42578125" customWidth="1"/>
    <col min="20" max="20" width="14.42578125" bestFit="1" customWidth="1"/>
    <col min="21" max="21" width="14.5703125" customWidth="1"/>
    <col min="22" max="22" width="15.42578125" customWidth="1"/>
  </cols>
  <sheetData>
    <row r="1" spans="1:22" ht="15.75" customHeight="1" thickBot="1" x14ac:dyDescent="0.3">
      <c r="A1" s="18"/>
      <c r="B1" s="1251" t="s">
        <v>44</v>
      </c>
      <c r="C1" s="1252"/>
      <c r="D1" s="1253"/>
      <c r="E1" s="1251" t="s">
        <v>45</v>
      </c>
      <c r="F1" s="1252"/>
      <c r="G1" s="1252"/>
      <c r="H1" s="1252"/>
      <c r="I1" s="1252"/>
      <c r="J1" s="1252"/>
      <c r="K1" s="1252"/>
      <c r="L1" s="1252"/>
      <c r="M1" s="1252"/>
      <c r="N1" s="1252"/>
      <c r="O1" s="1252"/>
      <c r="P1" s="1252"/>
      <c r="Q1" s="1254" t="s">
        <v>46</v>
      </c>
      <c r="R1" s="1255"/>
      <c r="S1" s="1255"/>
      <c r="T1" s="1255"/>
      <c r="U1" s="1255"/>
      <c r="V1" s="1256"/>
    </row>
    <row r="2" spans="1:22" ht="24" customHeight="1" x14ac:dyDescent="0.25">
      <c r="A2" s="8"/>
      <c r="B2" s="1254" t="s">
        <v>47</v>
      </c>
      <c r="C2" s="1255"/>
      <c r="D2" s="1256"/>
      <c r="E2" s="1273" t="s">
        <v>48</v>
      </c>
      <c r="F2" s="1274"/>
      <c r="G2" s="1275"/>
      <c r="H2" s="1276" t="s">
        <v>49</v>
      </c>
      <c r="I2" s="1274"/>
      <c r="J2" s="1275"/>
      <c r="K2" s="1276" t="s">
        <v>50</v>
      </c>
      <c r="L2" s="1274"/>
      <c r="M2" s="1275"/>
      <c r="N2" s="1276" t="s">
        <v>178</v>
      </c>
      <c r="O2" s="1274"/>
      <c r="P2" s="1277"/>
      <c r="Q2" s="1255" t="s">
        <v>17</v>
      </c>
      <c r="R2" s="1255"/>
      <c r="S2" s="1256"/>
      <c r="T2" s="1255" t="s">
        <v>18</v>
      </c>
      <c r="U2" s="1255"/>
      <c r="V2" s="1256"/>
    </row>
    <row r="3" spans="1:22" ht="18.600000000000001" customHeight="1" thickBot="1" x14ac:dyDescent="0.3">
      <c r="A3" s="19" t="s">
        <v>23</v>
      </c>
      <c r="B3" s="23" t="s">
        <v>210</v>
      </c>
      <c r="C3" s="20" t="s">
        <v>156</v>
      </c>
      <c r="D3" s="24" t="s">
        <v>24</v>
      </c>
      <c r="E3" s="14" t="s">
        <v>210</v>
      </c>
      <c r="F3" s="15" t="s">
        <v>156</v>
      </c>
      <c r="G3" s="22" t="s">
        <v>24</v>
      </c>
      <c r="H3" s="21" t="s">
        <v>210</v>
      </c>
      <c r="I3" s="15" t="s">
        <v>156</v>
      </c>
      <c r="J3" s="22" t="s">
        <v>24</v>
      </c>
      <c r="K3" s="21" t="s">
        <v>210</v>
      </c>
      <c r="L3" s="15" t="s">
        <v>156</v>
      </c>
      <c r="M3" s="22" t="s">
        <v>24</v>
      </c>
      <c r="N3" s="21" t="s">
        <v>210</v>
      </c>
      <c r="O3" s="15" t="s">
        <v>156</v>
      </c>
      <c r="P3" s="16" t="s">
        <v>24</v>
      </c>
      <c r="Q3" s="15" t="s">
        <v>210</v>
      </c>
      <c r="R3" s="15" t="s">
        <v>156</v>
      </c>
      <c r="S3" s="16" t="s">
        <v>24</v>
      </c>
      <c r="T3" s="15" t="s">
        <v>210</v>
      </c>
      <c r="U3" s="15" t="s">
        <v>156</v>
      </c>
      <c r="V3" s="16" t="s">
        <v>24</v>
      </c>
    </row>
    <row r="4" spans="1:22" x14ac:dyDescent="0.25">
      <c r="A4" s="32" t="s">
        <v>25</v>
      </c>
      <c r="B4" s="27">
        <f>'Parametre - Agendové IS'!D137</f>
        <v>0</v>
      </c>
      <c r="C4" s="27">
        <f>'Parametre - Agendové IS'!E137</f>
        <v>0</v>
      </c>
      <c r="D4" s="29">
        <f>IF(ISERR(C4-B4),"-",C4-B4)</f>
        <v>0</v>
      </c>
      <c r="E4" s="563">
        <v>0</v>
      </c>
      <c r="F4" s="564">
        <v>0</v>
      </c>
      <c r="G4" s="34">
        <f t="shared" ref="G4:G13" si="0">IF(ISERR(F4-E4),"-",F4-E4)</f>
        <v>0</v>
      </c>
      <c r="H4" s="30">
        <v>0</v>
      </c>
      <c r="I4" s="26">
        <f>'Parametre - Agendové IS'!E117</f>
        <v>0</v>
      </c>
      <c r="J4" s="34">
        <f>IF(ISERR(I4-H4),"-",I4-H4)</f>
        <v>0</v>
      </c>
      <c r="K4" s="27">
        <f>'Parametre - Agendové IS'!D157</f>
        <v>2123061.1667629513</v>
      </c>
      <c r="L4" s="27">
        <f>'Parametre - Agendové IS'!E157</f>
        <v>2123061.1667629513</v>
      </c>
      <c r="M4" s="29">
        <f>IF(ISERR(L4-K4),"-",L4-K4)</f>
        <v>0</v>
      </c>
      <c r="N4" s="26">
        <f>-'Parametre - Agendové IS'!D97</f>
        <v>-3125861.2821734836</v>
      </c>
      <c r="O4" s="26">
        <f>-'Parametre - Agendové IS'!E97</f>
        <v>-3125861.2821734836</v>
      </c>
      <c r="P4" s="34">
        <f t="shared" ref="P4:P13" si="1">IF(ISERR(O4-N4),"-",O4-N4)</f>
        <v>0</v>
      </c>
      <c r="Q4" s="27">
        <f t="shared" ref="Q4:Q13" si="2">SUM(B4,E4)</f>
        <v>0</v>
      </c>
      <c r="R4" s="26">
        <f t="shared" ref="R4:R13" si="3">SUM(C4,F4)</f>
        <v>0</v>
      </c>
      <c r="S4" s="29">
        <f>R4-Q4</f>
        <v>0</v>
      </c>
      <c r="T4" s="27">
        <f>SUM(H4,K4,N4)</f>
        <v>-1002800.1154105323</v>
      </c>
      <c r="U4" s="26">
        <f>SUM(I4,L4,O4)</f>
        <v>-1002800.1154105323</v>
      </c>
      <c r="V4" s="29">
        <f>U4-T4</f>
        <v>0</v>
      </c>
    </row>
    <row r="5" spans="1:22" x14ac:dyDescent="0.25">
      <c r="A5" s="33" t="s">
        <v>26</v>
      </c>
      <c r="B5" s="27">
        <f>'Parametre - Agendové IS'!D138</f>
        <v>0</v>
      </c>
      <c r="C5" s="27">
        <f>'Parametre - Agendové IS'!E138</f>
        <v>0</v>
      </c>
      <c r="D5" s="29">
        <f t="shared" ref="D5:D13" si="4">IF(ISERR(C5-B5),"-",C5-B5)</f>
        <v>0</v>
      </c>
      <c r="E5" s="563">
        <v>0</v>
      </c>
      <c r="F5" s="564">
        <v>0</v>
      </c>
      <c r="G5" s="29">
        <f t="shared" si="0"/>
        <v>0</v>
      </c>
      <c r="H5" s="30">
        <v>0</v>
      </c>
      <c r="I5" s="26">
        <f>'Parametre - Agendové IS'!E118</f>
        <v>0</v>
      </c>
      <c r="J5" s="124">
        <f>IF(ISERR(I5-H5),"-",I5-H5)</f>
        <v>0</v>
      </c>
      <c r="K5" s="27">
        <f>'Parametre - Agendové IS'!D158</f>
        <v>2123061.1667629513</v>
      </c>
      <c r="L5" s="27">
        <f>'Parametre - Agendové IS'!E158</f>
        <v>2123061.1667629513</v>
      </c>
      <c r="M5" s="29">
        <f t="shared" ref="M5:M13" si="5">IF(ISERR(L5-K5),"-",L5-K5)</f>
        <v>0</v>
      </c>
      <c r="N5" s="26">
        <f>-'Parametre - Agendové IS'!D98</f>
        <v>-3125861.2821734836</v>
      </c>
      <c r="O5" s="26">
        <f>-'Parametre - Agendové IS'!E98</f>
        <v>-3125861.2821734836</v>
      </c>
      <c r="P5" s="29">
        <f t="shared" si="1"/>
        <v>0</v>
      </c>
      <c r="Q5" s="27">
        <f t="shared" si="2"/>
        <v>0</v>
      </c>
      <c r="R5" s="26">
        <f t="shared" si="3"/>
        <v>0</v>
      </c>
      <c r="S5" s="29">
        <f t="shared" ref="S5:S12" si="6">R5-Q5</f>
        <v>0</v>
      </c>
      <c r="T5" s="27">
        <f t="shared" ref="T5:T13" si="7">SUM(H5,K5,N5)</f>
        <v>-1002800.1154105323</v>
      </c>
      <c r="U5" s="26">
        <f t="shared" ref="U5:U13" si="8">SUM(I5,L5,O5)</f>
        <v>-1002800.1154105323</v>
      </c>
      <c r="V5" s="29">
        <f t="shared" ref="V5:V13" si="9">U5-T5</f>
        <v>0</v>
      </c>
    </row>
    <row r="6" spans="1:22" x14ac:dyDescent="0.25">
      <c r="A6" s="33" t="s">
        <v>27</v>
      </c>
      <c r="B6" s="27">
        <f>'Parametre - Agendové IS'!D139</f>
        <v>0</v>
      </c>
      <c r="C6" s="27">
        <f>'Parametre - Agendové IS'!E139</f>
        <v>0</v>
      </c>
      <c r="D6" s="29">
        <f t="shared" si="4"/>
        <v>0</v>
      </c>
      <c r="E6" s="563">
        <v>0</v>
      </c>
      <c r="F6" s="564">
        <v>0</v>
      </c>
      <c r="G6" s="29">
        <f t="shared" si="0"/>
        <v>0</v>
      </c>
      <c r="H6" s="30">
        <v>0</v>
      </c>
      <c r="I6" s="26">
        <f>'Parametre - Agendové IS'!E119</f>
        <v>0</v>
      </c>
      <c r="J6" s="29">
        <f t="shared" ref="J6:J13" si="10">IF(ISERR(I6-H6),"-",I6-H6)</f>
        <v>0</v>
      </c>
      <c r="K6" s="27">
        <f>'Parametre - Agendové IS'!D159</f>
        <v>2123061.1667629513</v>
      </c>
      <c r="L6" s="27">
        <f>'Parametre - Agendové IS'!E159</f>
        <v>2123061.1667629513</v>
      </c>
      <c r="M6" s="29">
        <f t="shared" si="5"/>
        <v>0</v>
      </c>
      <c r="N6" s="26">
        <f>-'Parametre - Agendové IS'!D99</f>
        <v>-3125861.2821734836</v>
      </c>
      <c r="O6" s="26">
        <f>-'Parametre - Agendové IS'!E99</f>
        <v>-3125861.2821734836</v>
      </c>
      <c r="P6" s="29">
        <f t="shared" si="1"/>
        <v>0</v>
      </c>
      <c r="Q6" s="27">
        <f t="shared" si="2"/>
        <v>0</v>
      </c>
      <c r="R6" s="26">
        <f t="shared" si="3"/>
        <v>0</v>
      </c>
      <c r="S6" s="29">
        <f t="shared" si="6"/>
        <v>0</v>
      </c>
      <c r="T6" s="27">
        <f t="shared" si="7"/>
        <v>-1002800.1154105323</v>
      </c>
      <c r="U6" s="26">
        <f t="shared" si="8"/>
        <v>-1002800.1154105323</v>
      </c>
      <c r="V6" s="29">
        <f t="shared" si="9"/>
        <v>0</v>
      </c>
    </row>
    <row r="7" spans="1:22" x14ac:dyDescent="0.25">
      <c r="A7" s="33" t="s">
        <v>28</v>
      </c>
      <c r="B7" s="27">
        <f>'Parametre - Agendové IS'!D140</f>
        <v>0</v>
      </c>
      <c r="C7" s="27">
        <f>'Parametre - Agendové IS'!E140</f>
        <v>0</v>
      </c>
      <c r="D7" s="29">
        <f t="shared" si="4"/>
        <v>0</v>
      </c>
      <c r="E7" s="563">
        <v>0</v>
      </c>
      <c r="F7" s="564">
        <v>0</v>
      </c>
      <c r="G7" s="29">
        <f t="shared" si="0"/>
        <v>0</v>
      </c>
      <c r="H7" s="30">
        <v>0</v>
      </c>
      <c r="I7" s="26">
        <f>'Parametre - Agendové IS'!E120</f>
        <v>0</v>
      </c>
      <c r="J7" s="29">
        <f t="shared" si="10"/>
        <v>0</v>
      </c>
      <c r="K7" s="27">
        <f>'Parametre - Agendové IS'!D160</f>
        <v>2123061.1667629513</v>
      </c>
      <c r="L7" s="27">
        <f>'Parametre - Agendové IS'!E160</f>
        <v>3083064.345743285</v>
      </c>
      <c r="M7" s="29">
        <f t="shared" si="5"/>
        <v>960003.17898033373</v>
      </c>
      <c r="N7" s="26">
        <f>-'Parametre - Agendové IS'!D100</f>
        <v>-3947577.9787636278</v>
      </c>
      <c r="O7" s="26">
        <f>-'Parametre - Agendové IS'!E100</f>
        <v>-2932622.4909734838</v>
      </c>
      <c r="P7" s="29">
        <f t="shared" si="1"/>
        <v>1014955.487790144</v>
      </c>
      <c r="Q7" s="27">
        <f t="shared" si="2"/>
        <v>0</v>
      </c>
      <c r="R7" s="26">
        <f t="shared" si="3"/>
        <v>0</v>
      </c>
      <c r="S7" s="29">
        <f t="shared" si="6"/>
        <v>0</v>
      </c>
      <c r="T7" s="27">
        <f t="shared" si="7"/>
        <v>-1824516.8120006765</v>
      </c>
      <c r="U7" s="26">
        <f t="shared" si="8"/>
        <v>150441.85476980126</v>
      </c>
      <c r="V7" s="29">
        <f t="shared" si="9"/>
        <v>1974958.6667704778</v>
      </c>
    </row>
    <row r="8" spans="1:22" x14ac:dyDescent="0.25">
      <c r="A8" s="33" t="s">
        <v>29</v>
      </c>
      <c r="B8" s="27">
        <f>'Parametre - Agendové IS'!D141</f>
        <v>0</v>
      </c>
      <c r="C8" s="27">
        <f>'Parametre - Agendové IS'!E141</f>
        <v>0</v>
      </c>
      <c r="D8" s="29">
        <f t="shared" si="4"/>
        <v>0</v>
      </c>
      <c r="E8" s="563">
        <v>0</v>
      </c>
      <c r="F8" s="564">
        <v>0</v>
      </c>
      <c r="G8" s="29">
        <f t="shared" si="0"/>
        <v>0</v>
      </c>
      <c r="H8" s="30">
        <v>0</v>
      </c>
      <c r="I8" s="26">
        <f>'Parametre - Agendové IS'!E121</f>
        <v>0</v>
      </c>
      <c r="J8" s="29">
        <f t="shared" si="10"/>
        <v>0</v>
      </c>
      <c r="K8" s="27">
        <f>'Parametre - Agendové IS'!D161</f>
        <v>2123061.1667629513</v>
      </c>
      <c r="L8" s="27">
        <f>'Parametre - Agendové IS'!E161</f>
        <v>3083064.345743285</v>
      </c>
      <c r="M8" s="29">
        <f t="shared" si="5"/>
        <v>960003.17898033373</v>
      </c>
      <c r="N8" s="26">
        <f>-'Parametre - Agendové IS'!D101</f>
        <v>-3947577.9787636278</v>
      </c>
      <c r="O8" s="26">
        <f>-'Parametre - Agendové IS'!E101</f>
        <v>-2932622.4909734838</v>
      </c>
      <c r="P8" s="29">
        <f t="shared" si="1"/>
        <v>1014955.487790144</v>
      </c>
      <c r="Q8" s="27">
        <f t="shared" si="2"/>
        <v>0</v>
      </c>
      <c r="R8" s="26">
        <f t="shared" si="3"/>
        <v>0</v>
      </c>
      <c r="S8" s="29">
        <f t="shared" si="6"/>
        <v>0</v>
      </c>
      <c r="T8" s="27">
        <f t="shared" si="7"/>
        <v>-1824516.8120006765</v>
      </c>
      <c r="U8" s="26">
        <f t="shared" si="8"/>
        <v>150441.85476980126</v>
      </c>
      <c r="V8" s="29">
        <f t="shared" si="9"/>
        <v>1974958.6667704778</v>
      </c>
    </row>
    <row r="9" spans="1:22" x14ac:dyDescent="0.25">
      <c r="A9" s="33" t="s">
        <v>30</v>
      </c>
      <c r="B9" s="27">
        <f>'Parametre - Agendové IS'!D142</f>
        <v>0</v>
      </c>
      <c r="C9" s="27">
        <f>'Parametre - Agendové IS'!E142</f>
        <v>0</v>
      </c>
      <c r="D9" s="29">
        <f t="shared" si="4"/>
        <v>0</v>
      </c>
      <c r="E9" s="563">
        <v>0</v>
      </c>
      <c r="F9" s="564">
        <v>0</v>
      </c>
      <c r="G9" s="29">
        <f t="shared" si="0"/>
        <v>0</v>
      </c>
      <c r="H9" s="30">
        <v>0</v>
      </c>
      <c r="I9" s="26">
        <f>'Parametre - Agendové IS'!E122</f>
        <v>0</v>
      </c>
      <c r="J9" s="29">
        <f t="shared" si="10"/>
        <v>0</v>
      </c>
      <c r="K9" s="27">
        <f>'Parametre - Agendové IS'!D162</f>
        <v>2123061.1667629513</v>
      </c>
      <c r="L9" s="27">
        <f>'Parametre - Agendové IS'!E162</f>
        <v>3083064.345743285</v>
      </c>
      <c r="M9" s="29">
        <f t="shared" si="5"/>
        <v>960003.17898033373</v>
      </c>
      <c r="N9" s="26">
        <f>-'Parametre - Agendové IS'!D102</f>
        <v>-3947577.9787636278</v>
      </c>
      <c r="O9" s="26">
        <f>-'Parametre - Agendové IS'!E102</f>
        <v>-2932622.4909734838</v>
      </c>
      <c r="P9" s="29">
        <f t="shared" si="1"/>
        <v>1014955.487790144</v>
      </c>
      <c r="Q9" s="27">
        <f t="shared" si="2"/>
        <v>0</v>
      </c>
      <c r="R9" s="26">
        <f t="shared" si="3"/>
        <v>0</v>
      </c>
      <c r="S9" s="29">
        <f t="shared" si="6"/>
        <v>0</v>
      </c>
      <c r="T9" s="27">
        <f t="shared" si="7"/>
        <v>-1824516.8120006765</v>
      </c>
      <c r="U9" s="26">
        <f t="shared" si="8"/>
        <v>150441.85476980126</v>
      </c>
      <c r="V9" s="29">
        <f t="shared" si="9"/>
        <v>1974958.6667704778</v>
      </c>
    </row>
    <row r="10" spans="1:22" x14ac:dyDescent="0.25">
      <c r="A10" s="33" t="s">
        <v>31</v>
      </c>
      <c r="B10" s="27">
        <f>'Parametre - Agendové IS'!D143</f>
        <v>0</v>
      </c>
      <c r="C10" s="27">
        <f>'Parametre - Agendové IS'!E143</f>
        <v>0</v>
      </c>
      <c r="D10" s="29">
        <f t="shared" si="4"/>
        <v>0</v>
      </c>
      <c r="E10" s="563">
        <v>0</v>
      </c>
      <c r="F10" s="564">
        <v>0</v>
      </c>
      <c r="G10" s="29">
        <f t="shared" si="0"/>
        <v>0</v>
      </c>
      <c r="H10" s="30">
        <v>0</v>
      </c>
      <c r="I10" s="26">
        <f>'Parametre - Agendové IS'!E123</f>
        <v>0</v>
      </c>
      <c r="J10" s="29">
        <f t="shared" si="10"/>
        <v>0</v>
      </c>
      <c r="K10" s="27">
        <f>'Parametre - Agendové IS'!D163</f>
        <v>2123061.1667629513</v>
      </c>
      <c r="L10" s="27">
        <f>'Parametre - Agendové IS'!E163</f>
        <v>3083064.345743285</v>
      </c>
      <c r="M10" s="29">
        <f t="shared" si="5"/>
        <v>960003.17898033373</v>
      </c>
      <c r="N10" s="26">
        <f>-'Parametre - Agendové IS'!D103</f>
        <v>-3947577.9787636278</v>
      </c>
      <c r="O10" s="26">
        <f>-'Parametre - Agendové IS'!E103</f>
        <v>-2932622.4909734838</v>
      </c>
      <c r="P10" s="29">
        <f t="shared" si="1"/>
        <v>1014955.487790144</v>
      </c>
      <c r="Q10" s="27">
        <f t="shared" si="2"/>
        <v>0</v>
      </c>
      <c r="R10" s="26">
        <f t="shared" si="3"/>
        <v>0</v>
      </c>
      <c r="S10" s="29">
        <f t="shared" si="6"/>
        <v>0</v>
      </c>
      <c r="T10" s="27">
        <f t="shared" si="7"/>
        <v>-1824516.8120006765</v>
      </c>
      <c r="U10" s="26">
        <f t="shared" si="8"/>
        <v>150441.85476980126</v>
      </c>
      <c r="V10" s="29">
        <f t="shared" si="9"/>
        <v>1974958.6667704778</v>
      </c>
    </row>
    <row r="11" spans="1:22" x14ac:dyDescent="0.25">
      <c r="A11" s="33" t="s">
        <v>32</v>
      </c>
      <c r="B11" s="27">
        <f>'Parametre - Agendové IS'!D144</f>
        <v>0</v>
      </c>
      <c r="C11" s="27">
        <f>'Parametre - Agendové IS'!E144</f>
        <v>0</v>
      </c>
      <c r="D11" s="29">
        <f t="shared" si="4"/>
        <v>0</v>
      </c>
      <c r="E11" s="563">
        <v>0</v>
      </c>
      <c r="F11" s="564">
        <v>0</v>
      </c>
      <c r="G11" s="29">
        <f t="shared" si="0"/>
        <v>0</v>
      </c>
      <c r="H11" s="30">
        <v>0</v>
      </c>
      <c r="I11" s="26">
        <f>'Parametre - Agendové IS'!E124</f>
        <v>0</v>
      </c>
      <c r="J11" s="29">
        <f t="shared" si="10"/>
        <v>0</v>
      </c>
      <c r="K11" s="27">
        <f>'Parametre - Agendové IS'!D164</f>
        <v>2123061.1667629513</v>
      </c>
      <c r="L11" s="27">
        <f>'Parametre - Agendové IS'!E164</f>
        <v>3083064.345743285</v>
      </c>
      <c r="M11" s="29">
        <f t="shared" si="5"/>
        <v>960003.17898033373</v>
      </c>
      <c r="N11" s="26">
        <f>-'Parametre - Agendové IS'!D104</f>
        <v>-3947577.9787636278</v>
      </c>
      <c r="O11" s="26">
        <f>-'Parametre - Agendové IS'!E104</f>
        <v>-2932622.4909734838</v>
      </c>
      <c r="P11" s="29">
        <f t="shared" si="1"/>
        <v>1014955.487790144</v>
      </c>
      <c r="Q11" s="27">
        <f t="shared" si="2"/>
        <v>0</v>
      </c>
      <c r="R11" s="26">
        <f t="shared" si="3"/>
        <v>0</v>
      </c>
      <c r="S11" s="29">
        <f t="shared" si="6"/>
        <v>0</v>
      </c>
      <c r="T11" s="27">
        <f t="shared" si="7"/>
        <v>-1824516.8120006765</v>
      </c>
      <c r="U11" s="26">
        <f t="shared" si="8"/>
        <v>150441.85476980126</v>
      </c>
      <c r="V11" s="29">
        <f t="shared" si="9"/>
        <v>1974958.6667704778</v>
      </c>
    </row>
    <row r="12" spans="1:22" x14ac:dyDescent="0.25">
      <c r="A12" s="33" t="s">
        <v>33</v>
      </c>
      <c r="B12" s="27">
        <f>'Parametre - Agendové IS'!D145</f>
        <v>0</v>
      </c>
      <c r="C12" s="27">
        <f>'Parametre - Agendové IS'!E145</f>
        <v>0</v>
      </c>
      <c r="D12" s="29">
        <f t="shared" si="4"/>
        <v>0</v>
      </c>
      <c r="E12" s="563">
        <v>0</v>
      </c>
      <c r="F12" s="564">
        <v>0</v>
      </c>
      <c r="G12" s="29">
        <f t="shared" si="0"/>
        <v>0</v>
      </c>
      <c r="H12" s="30">
        <v>0</v>
      </c>
      <c r="I12" s="26">
        <f>'Parametre - Agendové IS'!E125</f>
        <v>0</v>
      </c>
      <c r="J12" s="29">
        <f t="shared" si="10"/>
        <v>0</v>
      </c>
      <c r="K12" s="27">
        <f>'Parametre - Agendové IS'!D165</f>
        <v>2123061.1667629513</v>
      </c>
      <c r="L12" s="27">
        <f>'Parametre - Agendové IS'!E165</f>
        <v>3083064.345743285</v>
      </c>
      <c r="M12" s="29">
        <f t="shared" si="5"/>
        <v>960003.17898033373</v>
      </c>
      <c r="N12" s="26">
        <f>-'Parametre - Agendové IS'!D105</f>
        <v>-3947577.9787636278</v>
      </c>
      <c r="O12" s="26">
        <f>-'Parametre - Agendové IS'!E105</f>
        <v>-2932622.4909734838</v>
      </c>
      <c r="P12" s="29">
        <f t="shared" si="1"/>
        <v>1014955.487790144</v>
      </c>
      <c r="Q12" s="27">
        <f t="shared" si="2"/>
        <v>0</v>
      </c>
      <c r="R12" s="26">
        <f t="shared" si="3"/>
        <v>0</v>
      </c>
      <c r="S12" s="29">
        <f t="shared" si="6"/>
        <v>0</v>
      </c>
      <c r="T12" s="27">
        <f t="shared" si="7"/>
        <v>-1824516.8120006765</v>
      </c>
      <c r="U12" s="26">
        <f t="shared" si="8"/>
        <v>150441.85476980126</v>
      </c>
      <c r="V12" s="29">
        <f t="shared" si="9"/>
        <v>1974958.6667704778</v>
      </c>
    </row>
    <row r="13" spans="1:22" ht="15.6" customHeight="1" thickBot="1" x14ac:dyDescent="0.3">
      <c r="A13" s="33" t="s">
        <v>34</v>
      </c>
      <c r="B13" s="47">
        <f>'Parametre - Agendové IS'!D146</f>
        <v>0</v>
      </c>
      <c r="C13" s="47">
        <f>'Parametre - Agendové IS'!E146</f>
        <v>0</v>
      </c>
      <c r="D13" s="133">
        <f t="shared" si="4"/>
        <v>0</v>
      </c>
      <c r="E13" s="565">
        <v>0</v>
      </c>
      <c r="F13" s="566">
        <v>0</v>
      </c>
      <c r="G13" s="133">
        <f t="shared" si="0"/>
        <v>0</v>
      </c>
      <c r="H13" s="30">
        <v>0</v>
      </c>
      <c r="I13" s="43">
        <f>'Parametre - Agendové IS'!E126</f>
        <v>0</v>
      </c>
      <c r="J13" s="133">
        <f t="shared" si="10"/>
        <v>0</v>
      </c>
      <c r="K13" s="47">
        <f>'Parametre - Agendové IS'!D166</f>
        <v>2123061.1667629513</v>
      </c>
      <c r="L13" s="47">
        <f>'Parametre - Agendové IS'!E166</f>
        <v>3083064.345743285</v>
      </c>
      <c r="M13" s="133">
        <f t="shared" si="5"/>
        <v>960003.17898033373</v>
      </c>
      <c r="N13" s="43">
        <f>-'Parametre - Agendové IS'!D106</f>
        <v>-3947577.9787636278</v>
      </c>
      <c r="O13" s="43">
        <f>-'Parametre - Agendové IS'!E106</f>
        <v>-2932622.4909734838</v>
      </c>
      <c r="P13" s="43">
        <f t="shared" si="1"/>
        <v>1014955.487790144</v>
      </c>
      <c r="Q13" s="136">
        <f t="shared" si="2"/>
        <v>0</v>
      </c>
      <c r="R13" s="43">
        <f t="shared" si="3"/>
        <v>0</v>
      </c>
      <c r="S13" s="133">
        <f>R13-Q13</f>
        <v>0</v>
      </c>
      <c r="T13" s="47">
        <f t="shared" si="7"/>
        <v>-1824516.8120006765</v>
      </c>
      <c r="U13" s="43">
        <f t="shared" si="8"/>
        <v>150441.85476980126</v>
      </c>
      <c r="V13" s="133">
        <f t="shared" si="9"/>
        <v>1974958.6667704778</v>
      </c>
    </row>
    <row r="14" spans="1:22" x14ac:dyDescent="0.25">
      <c r="A14" s="137" t="s">
        <v>103</v>
      </c>
      <c r="B14" s="455">
        <f>SUM(B4:B13)</f>
        <v>0</v>
      </c>
      <c r="C14" s="455">
        <f t="shared" ref="C14:P14" si="11">SUM(C4:C13)</f>
        <v>0</v>
      </c>
      <c r="D14" s="456">
        <f t="shared" si="11"/>
        <v>0</v>
      </c>
      <c r="E14" s="455">
        <f t="shared" si="11"/>
        <v>0</v>
      </c>
      <c r="F14" s="457">
        <f t="shared" si="11"/>
        <v>0</v>
      </c>
      <c r="G14" s="456">
        <f t="shared" si="11"/>
        <v>0</v>
      </c>
      <c r="H14" s="455">
        <f t="shared" si="11"/>
        <v>0</v>
      </c>
      <c r="I14" s="457">
        <f t="shared" si="11"/>
        <v>0</v>
      </c>
      <c r="J14" s="456">
        <f t="shared" si="11"/>
        <v>0</v>
      </c>
      <c r="K14" s="455">
        <f t="shared" si="11"/>
        <v>21230611.667629514</v>
      </c>
      <c r="L14" s="455">
        <f t="shared" si="11"/>
        <v>27950633.920491844</v>
      </c>
      <c r="M14" s="456">
        <f t="shared" si="11"/>
        <v>6720022.2528623361</v>
      </c>
      <c r="N14" s="457">
        <f t="shared" si="11"/>
        <v>-37010629.697865851</v>
      </c>
      <c r="O14" s="457">
        <f t="shared" si="11"/>
        <v>-29905941.283334836</v>
      </c>
      <c r="P14" s="458">
        <f t="shared" si="11"/>
        <v>7104688.4145310083</v>
      </c>
      <c r="Q14" s="459">
        <f t="shared" ref="Q14:V14" si="12">SUM(Q4:Q13)</f>
        <v>0</v>
      </c>
      <c r="R14" s="457">
        <f t="shared" si="12"/>
        <v>0</v>
      </c>
      <c r="S14" s="460">
        <f t="shared" si="12"/>
        <v>0</v>
      </c>
      <c r="T14" s="459">
        <f t="shared" si="12"/>
        <v>-15780018.030236335</v>
      </c>
      <c r="U14" s="457">
        <f t="shared" si="12"/>
        <v>-1955307.3628429882</v>
      </c>
      <c r="V14" s="461">
        <f t="shared" si="12"/>
        <v>13824710.667393342</v>
      </c>
    </row>
    <row r="15" spans="1:22" ht="15.75" thickBot="1" x14ac:dyDescent="0.3">
      <c r="A15" s="138" t="s">
        <v>151</v>
      </c>
      <c r="B15" s="462"/>
      <c r="C15" s="462"/>
      <c r="D15" s="463">
        <f>D4+NPV(Faktory!$D$5,'Prínosy - Agendové IS'!D5:D13)</f>
        <v>0</v>
      </c>
      <c r="E15" s="464"/>
      <c r="F15" s="465"/>
      <c r="G15" s="463">
        <f>G4+NPV(Faktory!$D$3,'Prínosy - Agendové IS'!G5:G13)</f>
        <v>0</v>
      </c>
      <c r="H15" s="464"/>
      <c r="I15" s="465"/>
      <c r="J15" s="463">
        <f>J4+NPV(Faktory!$D$5,'Prínosy - Agendové IS'!J5:J13)</f>
        <v>0</v>
      </c>
      <c r="K15" s="462"/>
      <c r="L15" s="462"/>
      <c r="M15" s="463">
        <f>M4+NPV(Faktory!$D$5,'Prínosy - Agendové IS'!M5:M13)</f>
        <v>5038491.4796089781</v>
      </c>
      <c r="N15" s="465"/>
      <c r="O15" s="465"/>
      <c r="P15" s="466">
        <f>P4+NPV(Faktory!$D$5,'Prínosy - Agendové IS'!P5:P13)</f>
        <v>5326903.7950943857</v>
      </c>
      <c r="Q15" s="467"/>
      <c r="R15" s="465"/>
      <c r="S15" s="463">
        <f>S4+NPV(Faktory!$D$5,'Prínosy - Agendové IS'!S5:S13)</f>
        <v>0</v>
      </c>
      <c r="T15" s="467"/>
      <c r="U15" s="465"/>
      <c r="V15" s="463">
        <f>V4+NPV(Faktory!$D$5,'Prínosy - Agendové IS'!V5:V13)</f>
        <v>10365395.274703363</v>
      </c>
    </row>
    <row r="17" spans="2:2" x14ac:dyDescent="0.25">
      <c r="B17" s="101" t="s">
        <v>159</v>
      </c>
    </row>
    <row r="19" spans="2:2" x14ac:dyDescent="0.25">
      <c r="B19" t="s">
        <v>633</v>
      </c>
    </row>
    <row r="38" spans="15:15" x14ac:dyDescent="0.25">
      <c r="O38" s="135"/>
    </row>
  </sheetData>
  <protectedRanges>
    <protectedRange algorithmName="SHA-512" hashValue="f4ycvS5NMakRYlpexdvZE7kc5B00PVZgCpNS64jzUJaJceYSE+aleudxwPGxr22CZo/5IZ2uTHVQQMolnN60/A==" saltValue="c0KVc6r/LTYq/uhy9236YA==" spinCount="100000" sqref="E2:G15" name="Rozsah1"/>
  </protectedRanges>
  <mergeCells count="10">
    <mergeCell ref="B1:D1"/>
    <mergeCell ref="Q1:V1"/>
    <mergeCell ref="B2:D2"/>
    <mergeCell ref="E2:G2"/>
    <mergeCell ref="H2:J2"/>
    <mergeCell ref="K2:M2"/>
    <mergeCell ref="Q2:S2"/>
    <mergeCell ref="T2:V2"/>
    <mergeCell ref="N2:P2"/>
    <mergeCell ref="E1:P1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22"/>
  <sheetViews>
    <sheetView showGridLines="0" topLeftCell="H1" zoomScaleNormal="100" workbookViewId="0">
      <pane ySplit="3" topLeftCell="A4" activePane="bottomLeft" state="frozen"/>
      <selection activeCell="C47" sqref="C47"/>
      <selection pane="bottomLeft" activeCell="C47" sqref="C47"/>
    </sheetView>
  </sheetViews>
  <sheetFormatPr defaultColWidth="8.85546875" defaultRowHeight="15" x14ac:dyDescent="0.25"/>
  <cols>
    <col min="2" max="2" width="14.42578125" customWidth="1"/>
    <col min="3" max="3" width="15.85546875" bestFit="1" customWidth="1"/>
    <col min="4" max="4" width="16.5703125" bestFit="1" customWidth="1"/>
    <col min="5" max="6" width="13.42578125" bestFit="1" customWidth="1"/>
    <col min="7" max="7" width="16.5703125" bestFit="1" customWidth="1"/>
    <col min="8" max="8" width="14.42578125" bestFit="1" customWidth="1"/>
    <col min="9" max="9" width="13.42578125" bestFit="1" customWidth="1"/>
    <col min="10" max="10" width="16.5703125" bestFit="1" customWidth="1"/>
    <col min="11" max="16" width="16.5703125" customWidth="1"/>
    <col min="17" max="17" width="13.42578125" bestFit="1" customWidth="1"/>
    <col min="18" max="18" width="15.85546875" bestFit="1" customWidth="1"/>
    <col min="19" max="19" width="15.42578125" customWidth="1"/>
    <col min="20" max="21" width="17" bestFit="1" customWidth="1"/>
    <col min="22" max="22" width="14.42578125" bestFit="1" customWidth="1"/>
  </cols>
  <sheetData>
    <row r="1" spans="1:23" ht="15.75" customHeight="1" thickBot="1" x14ac:dyDescent="0.3">
      <c r="A1" s="37"/>
      <c r="B1" s="1279" t="s">
        <v>172</v>
      </c>
      <c r="C1" s="1280"/>
      <c r="D1" s="1280"/>
      <c r="E1" s="1280"/>
      <c r="F1" s="1280"/>
      <c r="G1" s="1280"/>
      <c r="H1" s="1280"/>
      <c r="I1" s="1280"/>
      <c r="J1" s="1280"/>
      <c r="K1" s="1280"/>
      <c r="L1" s="1280"/>
      <c r="M1" s="1281"/>
      <c r="N1" s="1279" t="s">
        <v>265</v>
      </c>
      <c r="O1" s="1280"/>
      <c r="P1" s="1281"/>
      <c r="Q1" s="1278" t="s">
        <v>69</v>
      </c>
      <c r="R1" s="1278"/>
      <c r="S1" s="1278"/>
      <c r="T1" s="1251" t="s">
        <v>70</v>
      </c>
      <c r="U1" s="1252"/>
      <c r="V1" s="1253"/>
    </row>
    <row r="2" spans="1:23" ht="15.75" customHeight="1" thickBot="1" x14ac:dyDescent="0.3">
      <c r="A2" s="8"/>
      <c r="B2" s="1252" t="s">
        <v>66</v>
      </c>
      <c r="C2" s="1252"/>
      <c r="D2" s="1253"/>
      <c r="E2" s="1252" t="s">
        <v>67</v>
      </c>
      <c r="F2" s="1252"/>
      <c r="G2" s="1253"/>
      <c r="H2" s="1252" t="s">
        <v>105</v>
      </c>
      <c r="I2" s="1252"/>
      <c r="J2" s="1253"/>
      <c r="K2" s="1252" t="s">
        <v>292</v>
      </c>
      <c r="L2" s="1252"/>
      <c r="M2" s="1253"/>
      <c r="N2" s="1252"/>
      <c r="O2" s="1252"/>
      <c r="P2" s="1253"/>
      <c r="Q2" s="1252" t="s">
        <v>68</v>
      </c>
      <c r="R2" s="1252"/>
      <c r="S2" s="1253"/>
      <c r="T2" s="8"/>
      <c r="U2" s="8"/>
      <c r="V2" s="38"/>
    </row>
    <row r="3" spans="1:23" ht="19.350000000000001" customHeight="1" thickBot="1" x14ac:dyDescent="0.3">
      <c r="A3" s="40" t="s">
        <v>23</v>
      </c>
      <c r="B3" s="41" t="s">
        <v>210</v>
      </c>
      <c r="C3" s="41" t="s">
        <v>156</v>
      </c>
      <c r="D3" s="42" t="s">
        <v>24</v>
      </c>
      <c r="E3" s="41" t="s">
        <v>210</v>
      </c>
      <c r="F3" s="41" t="s">
        <v>156</v>
      </c>
      <c r="G3" s="42" t="s">
        <v>24</v>
      </c>
      <c r="H3" s="41" t="s">
        <v>210</v>
      </c>
      <c r="I3" s="41" t="s">
        <v>156</v>
      </c>
      <c r="J3" s="42" t="s">
        <v>24</v>
      </c>
      <c r="K3" s="41" t="s">
        <v>210</v>
      </c>
      <c r="L3" s="41" t="s">
        <v>156</v>
      </c>
      <c r="M3" s="42" t="s">
        <v>24</v>
      </c>
      <c r="N3" s="41" t="s">
        <v>210</v>
      </c>
      <c r="O3" s="41" t="s">
        <v>156</v>
      </c>
      <c r="P3" s="42" t="s">
        <v>24</v>
      </c>
      <c r="Q3" s="41" t="s">
        <v>210</v>
      </c>
      <c r="R3" s="41" t="s">
        <v>156</v>
      </c>
      <c r="S3" s="42" t="s">
        <v>24</v>
      </c>
      <c r="T3" s="41" t="s">
        <v>210</v>
      </c>
      <c r="U3" s="41" t="s">
        <v>156</v>
      </c>
      <c r="V3" s="42" t="s">
        <v>24</v>
      </c>
    </row>
    <row r="4" spans="1:23" x14ac:dyDescent="0.25">
      <c r="A4" s="25" t="s">
        <v>25</v>
      </c>
      <c r="B4" s="26">
        <f>TCO!D26+TCO!D27</f>
        <v>0</v>
      </c>
      <c r="C4" s="26">
        <f>(TCO!D$12*(1+$W$5))+TCO!D$13</f>
        <v>0</v>
      </c>
      <c r="D4" s="34">
        <f>C4-B4</f>
        <v>0</v>
      </c>
      <c r="E4" s="27">
        <f>TCO!D22+TCO!D23</f>
        <v>0</v>
      </c>
      <c r="F4" s="26">
        <f>(TCO!D$7*(1+$W$5))+TCO!D$8</f>
        <v>0</v>
      </c>
      <c r="G4" s="34">
        <f>F4-E4</f>
        <v>0</v>
      </c>
      <c r="H4" s="26">
        <f>TCO!D24+TCO!D25</f>
        <v>31564.799999999999</v>
      </c>
      <c r="I4" s="26">
        <f>(TCO!D$9*(1+$W$5))+TCO!D$10</f>
        <v>1327074.1000000001</v>
      </c>
      <c r="J4" s="34">
        <f>I4-H4</f>
        <v>1295509.3</v>
      </c>
      <c r="K4" s="27">
        <v>0</v>
      </c>
      <c r="L4" s="27">
        <f>TCO!D11</f>
        <v>0</v>
      </c>
      <c r="M4" s="34">
        <f>L4-K4</f>
        <v>0</v>
      </c>
      <c r="N4" s="27">
        <v>0</v>
      </c>
      <c r="O4" s="27">
        <f>TCO!D14</f>
        <v>76467.748000000007</v>
      </c>
      <c r="P4" s="34">
        <f>O4-N4</f>
        <v>76467.748000000007</v>
      </c>
      <c r="Q4" s="27">
        <f>'Parametre - Agendové IS'!D127</f>
        <v>0</v>
      </c>
      <c r="R4" s="27">
        <f>'Parametre - Agendové IS'!E127</f>
        <v>0</v>
      </c>
      <c r="S4" s="34">
        <f t="shared" ref="S4:S13" si="0">IF(ISERR(R4-Q4),"-",R4-Q4)</f>
        <v>0</v>
      </c>
      <c r="T4" s="26">
        <f>SUM(B4,E4,H4,K4,N4,Q4)</f>
        <v>31564.799999999999</v>
      </c>
      <c r="U4" s="26">
        <f>((C4+F4+L4+O4+I4)*(1+$W$4))+R4</f>
        <v>1403541.848</v>
      </c>
      <c r="V4" s="34">
        <f>U4-T4</f>
        <v>1371977.048</v>
      </c>
      <c r="W4" s="175">
        <f>'Analyza citlivosti - AgendovéIS'!B7</f>
        <v>0</v>
      </c>
    </row>
    <row r="5" spans="1:23" x14ac:dyDescent="0.25">
      <c r="A5" s="25" t="s">
        <v>26</v>
      </c>
      <c r="B5" s="26">
        <f>TCO!E26+TCO!E27</f>
        <v>0</v>
      </c>
      <c r="C5" s="26">
        <f>(TCO!E$12*(1+$W$5))+TCO!E$13</f>
        <v>1034163.04</v>
      </c>
      <c r="D5" s="29">
        <f t="shared" ref="D5:D13" si="1">C5-B5</f>
        <v>1034163.04</v>
      </c>
      <c r="E5" s="27">
        <f>TCO!E22+TCO!E23</f>
        <v>0</v>
      </c>
      <c r="F5" s="26">
        <f>(TCO!E$7*(1+$W$5))+TCO!E$8</f>
        <v>0</v>
      </c>
      <c r="G5" s="29">
        <f t="shared" ref="G5:G13" si="2">F5-E5</f>
        <v>0</v>
      </c>
      <c r="H5" s="26">
        <f>TCO!E24+TCO!E25</f>
        <v>31564.799999999999</v>
      </c>
      <c r="I5" s="26">
        <f>(TCO!E$9*(1+$W$5))+TCO!E$10</f>
        <v>2030154.18</v>
      </c>
      <c r="J5" s="29">
        <f t="shared" ref="J5:J13" si="3">I5-H5</f>
        <v>1998589.38</v>
      </c>
      <c r="K5" s="27">
        <v>0</v>
      </c>
      <c r="L5" s="27">
        <f>TCO!E11</f>
        <v>0</v>
      </c>
      <c r="M5" s="29">
        <f t="shared" ref="M5:M13" si="4">L5-K5</f>
        <v>0</v>
      </c>
      <c r="N5" s="27">
        <v>0</v>
      </c>
      <c r="O5" s="27">
        <f>TCO!E14</f>
        <v>76467.748000000007</v>
      </c>
      <c r="P5" s="29">
        <f t="shared" ref="P5:P13" si="5">O5-N5</f>
        <v>76467.748000000007</v>
      </c>
      <c r="Q5" s="27">
        <f>'Parametre - Agendové IS'!D128</f>
        <v>0</v>
      </c>
      <c r="R5" s="27">
        <f>'Parametre - Agendové IS'!E128</f>
        <v>0</v>
      </c>
      <c r="S5" s="29">
        <f t="shared" si="0"/>
        <v>0</v>
      </c>
      <c r="T5" s="26">
        <f t="shared" ref="T5:T13" si="6">SUM(B5,E5,H5,K5,N5,Q5)</f>
        <v>31564.799999999999</v>
      </c>
      <c r="U5" s="26">
        <f t="shared" ref="U5:U13" si="7">((C5+F5+L5+O5+I5)*(1+$W$4))+R5</f>
        <v>3140784.9679999999</v>
      </c>
      <c r="V5" s="29">
        <f t="shared" ref="V5:V13" si="8">U5-T5</f>
        <v>3109220.1680000001</v>
      </c>
      <c r="W5" s="175">
        <f>'Analyza citlivosti - AgendovéIS'!E7</f>
        <v>0</v>
      </c>
    </row>
    <row r="6" spans="1:23" x14ac:dyDescent="0.25">
      <c r="A6" s="25" t="s">
        <v>27</v>
      </c>
      <c r="B6" s="26">
        <f>TCO!F26+TCO!F27</f>
        <v>0</v>
      </c>
      <c r="C6" s="26">
        <f>(TCO!F$12*(1+$W$5))+TCO!F$13</f>
        <v>2851.3519999999999</v>
      </c>
      <c r="D6" s="29">
        <f t="shared" si="1"/>
        <v>2851.3519999999999</v>
      </c>
      <c r="E6" s="27">
        <f>TCO!F22+TCO!F23</f>
        <v>0</v>
      </c>
      <c r="F6" s="26">
        <f>(TCO!F$7*(1+$W$5))+TCO!F$8</f>
        <v>0</v>
      </c>
      <c r="G6" s="29">
        <f t="shared" si="2"/>
        <v>0</v>
      </c>
      <c r="H6" s="26">
        <f>TCO!F24+TCO!F25</f>
        <v>31564.799999999999</v>
      </c>
      <c r="I6" s="26">
        <f>(TCO!F$9*(1+$W$5))+TCO!F$10</f>
        <v>241430.08400000003</v>
      </c>
      <c r="J6" s="29">
        <f t="shared" si="3"/>
        <v>209865.28400000004</v>
      </c>
      <c r="K6" s="27">
        <v>0</v>
      </c>
      <c r="L6" s="27">
        <f>TCO!F11</f>
        <v>0</v>
      </c>
      <c r="M6" s="29">
        <f t="shared" si="4"/>
        <v>0</v>
      </c>
      <c r="N6" s="27">
        <v>0</v>
      </c>
      <c r="O6" s="27">
        <f>TCO!F14</f>
        <v>43993.874000000003</v>
      </c>
      <c r="P6" s="29">
        <f t="shared" si="5"/>
        <v>43993.874000000003</v>
      </c>
      <c r="Q6" s="27">
        <f>'Parametre - Agendové IS'!D129</f>
        <v>0</v>
      </c>
      <c r="R6" s="27">
        <f>'Parametre - Agendové IS'!E129</f>
        <v>0</v>
      </c>
      <c r="S6" s="29">
        <f t="shared" si="0"/>
        <v>0</v>
      </c>
      <c r="T6" s="26">
        <f t="shared" si="6"/>
        <v>31564.799999999999</v>
      </c>
      <c r="U6" s="26">
        <f t="shared" si="7"/>
        <v>288275.31000000006</v>
      </c>
      <c r="V6" s="29">
        <f t="shared" si="8"/>
        <v>256710.51000000007</v>
      </c>
    </row>
    <row r="7" spans="1:23" x14ac:dyDescent="0.25">
      <c r="A7" s="25" t="s">
        <v>28</v>
      </c>
      <c r="B7" s="26">
        <f>TCO!G26+TCO!G27</f>
        <v>0</v>
      </c>
      <c r="C7" s="26">
        <f>(TCO!G$12*(1+$W$5))+TCO!G$13</f>
        <v>2851.3519999999999</v>
      </c>
      <c r="D7" s="29">
        <f t="shared" si="1"/>
        <v>2851.3519999999999</v>
      </c>
      <c r="E7" s="27">
        <f>TCO!G22+TCO!G23</f>
        <v>0</v>
      </c>
      <c r="F7" s="26">
        <f>(TCO!G$7*(1+$W$5))+TCO!G$8</f>
        <v>0</v>
      </c>
      <c r="G7" s="29">
        <f t="shared" si="2"/>
        <v>0</v>
      </c>
      <c r="H7" s="26">
        <f>TCO!G24+TCO!G25</f>
        <v>31564.799999999999</v>
      </c>
      <c r="I7" s="26">
        <f>(TCO!G$9*(1+$W$5))+TCO!G$10</f>
        <v>367550.32800000004</v>
      </c>
      <c r="J7" s="29">
        <f t="shared" si="3"/>
        <v>335985.52800000005</v>
      </c>
      <c r="K7" s="27">
        <v>0</v>
      </c>
      <c r="L7" s="27">
        <f>TCO!G11</f>
        <v>0</v>
      </c>
      <c r="M7" s="29">
        <f t="shared" si="4"/>
        <v>0</v>
      </c>
      <c r="N7" s="27">
        <v>0</v>
      </c>
      <c r="O7" s="27">
        <f>TCO!G14</f>
        <v>0</v>
      </c>
      <c r="P7" s="29">
        <f t="shared" si="5"/>
        <v>0</v>
      </c>
      <c r="Q7" s="27">
        <f>'Parametre - Agendové IS'!D130</f>
        <v>0</v>
      </c>
      <c r="R7" s="27">
        <f>'Parametre - Agendové IS'!E130</f>
        <v>0</v>
      </c>
      <c r="S7" s="29">
        <f t="shared" si="0"/>
        <v>0</v>
      </c>
      <c r="T7" s="26">
        <f t="shared" si="6"/>
        <v>31564.799999999999</v>
      </c>
      <c r="U7" s="26">
        <f t="shared" si="7"/>
        <v>370401.68000000005</v>
      </c>
      <c r="V7" s="29">
        <f t="shared" si="8"/>
        <v>338836.88000000006</v>
      </c>
    </row>
    <row r="8" spans="1:23" x14ac:dyDescent="0.25">
      <c r="A8" s="25" t="s">
        <v>29</v>
      </c>
      <c r="B8" s="26">
        <f>TCO!H26+TCO!H27</f>
        <v>0</v>
      </c>
      <c r="C8" s="26">
        <f>(TCO!H$12*(1+$W$5))+TCO!H$13</f>
        <v>2851.3519999999999</v>
      </c>
      <c r="D8" s="29">
        <f t="shared" si="1"/>
        <v>2851.3519999999999</v>
      </c>
      <c r="E8" s="27">
        <f>TCO!H22+TCO!H23</f>
        <v>0</v>
      </c>
      <c r="F8" s="26">
        <f>(TCO!H$7*(1+$W$5))+TCO!H$8</f>
        <v>0</v>
      </c>
      <c r="G8" s="29">
        <f t="shared" si="2"/>
        <v>0</v>
      </c>
      <c r="H8" s="26">
        <f>TCO!H24+TCO!H25</f>
        <v>31564.799999999999</v>
      </c>
      <c r="I8" s="26">
        <f>(TCO!H$9*(1+$W$5))+TCO!H$10</f>
        <v>367550.32800000004</v>
      </c>
      <c r="J8" s="29">
        <f t="shared" si="3"/>
        <v>335985.52800000005</v>
      </c>
      <c r="K8" s="27">
        <v>0</v>
      </c>
      <c r="L8" s="27">
        <f>TCO!H11</f>
        <v>0</v>
      </c>
      <c r="M8" s="29">
        <f t="shared" si="4"/>
        <v>0</v>
      </c>
      <c r="N8" s="27">
        <v>0</v>
      </c>
      <c r="O8" s="27">
        <f>TCO!H14</f>
        <v>0</v>
      </c>
      <c r="P8" s="29">
        <f t="shared" si="5"/>
        <v>0</v>
      </c>
      <c r="Q8" s="27">
        <f>'Parametre - Agendové IS'!D131</f>
        <v>0</v>
      </c>
      <c r="R8" s="27">
        <f>'Parametre - Agendové IS'!E131</f>
        <v>0</v>
      </c>
      <c r="S8" s="29">
        <f t="shared" si="0"/>
        <v>0</v>
      </c>
      <c r="T8" s="26">
        <f t="shared" si="6"/>
        <v>31564.799999999999</v>
      </c>
      <c r="U8" s="26">
        <f t="shared" si="7"/>
        <v>370401.68000000005</v>
      </c>
      <c r="V8" s="29">
        <f t="shared" si="8"/>
        <v>338836.88000000006</v>
      </c>
    </row>
    <row r="9" spans="1:23" x14ac:dyDescent="0.25">
      <c r="A9" s="25" t="s">
        <v>30</v>
      </c>
      <c r="B9" s="26">
        <f>TCO!I26+TCO!I27</f>
        <v>0</v>
      </c>
      <c r="C9" s="26">
        <f>(TCO!I$12*(1+$W$5))+TCO!I$13</f>
        <v>2851.3519999999999</v>
      </c>
      <c r="D9" s="29">
        <f t="shared" si="1"/>
        <v>2851.3519999999999</v>
      </c>
      <c r="E9" s="27">
        <f>TCO!I22+TCO!I23</f>
        <v>0</v>
      </c>
      <c r="F9" s="26">
        <f>(TCO!I$7*(1+$W$5))+TCO!I$8</f>
        <v>0</v>
      </c>
      <c r="G9" s="29">
        <f t="shared" si="2"/>
        <v>0</v>
      </c>
      <c r="H9" s="26">
        <f>TCO!I24+TCO!I25</f>
        <v>31564.799999999999</v>
      </c>
      <c r="I9" s="26">
        <f>(TCO!I$9*(1+$W$5))+TCO!I$10</f>
        <v>367550.32800000004</v>
      </c>
      <c r="J9" s="29">
        <f t="shared" si="3"/>
        <v>335985.52800000005</v>
      </c>
      <c r="K9" s="27">
        <v>0</v>
      </c>
      <c r="L9" s="27">
        <f>TCO!I11</f>
        <v>0</v>
      </c>
      <c r="M9" s="29">
        <f t="shared" si="4"/>
        <v>0</v>
      </c>
      <c r="N9" s="27">
        <v>0</v>
      </c>
      <c r="O9" s="27">
        <f>TCO!I14</f>
        <v>0</v>
      </c>
      <c r="P9" s="29">
        <f t="shared" si="5"/>
        <v>0</v>
      </c>
      <c r="Q9" s="27">
        <f>'Parametre - Agendové IS'!D132</f>
        <v>0</v>
      </c>
      <c r="R9" s="27">
        <f>'Parametre - Agendové IS'!E132</f>
        <v>0</v>
      </c>
      <c r="S9" s="29">
        <f t="shared" si="0"/>
        <v>0</v>
      </c>
      <c r="T9" s="26">
        <f t="shared" si="6"/>
        <v>31564.799999999999</v>
      </c>
      <c r="U9" s="26">
        <f t="shared" si="7"/>
        <v>370401.68000000005</v>
      </c>
      <c r="V9" s="29">
        <f t="shared" si="8"/>
        <v>338836.88000000006</v>
      </c>
    </row>
    <row r="10" spans="1:23" x14ac:dyDescent="0.25">
      <c r="A10" s="25" t="s">
        <v>31</v>
      </c>
      <c r="B10" s="26">
        <f>TCO!J26+TCO!J27</f>
        <v>0</v>
      </c>
      <c r="C10" s="26">
        <f>(TCO!J$12*(1+$W$5))+TCO!J$13</f>
        <v>797443.35199999996</v>
      </c>
      <c r="D10" s="29">
        <f t="shared" si="1"/>
        <v>797443.35199999996</v>
      </c>
      <c r="E10" s="27">
        <f>TCO!J22+TCO!J23</f>
        <v>0</v>
      </c>
      <c r="F10" s="26">
        <f>(TCO!J$7*(1+$W$5))+TCO!J$8</f>
        <v>0</v>
      </c>
      <c r="G10" s="29">
        <f t="shared" si="2"/>
        <v>0</v>
      </c>
      <c r="H10" s="26">
        <f>TCO!J24+TCO!J25</f>
        <v>31564.799999999999</v>
      </c>
      <c r="I10" s="26">
        <f>(TCO!J$9*(1+$W$5))+TCO!J$10</f>
        <v>367550.32800000004</v>
      </c>
      <c r="J10" s="29">
        <f t="shared" si="3"/>
        <v>335985.52800000005</v>
      </c>
      <c r="K10" s="27">
        <v>0</v>
      </c>
      <c r="L10" s="27">
        <f>TCO!J11</f>
        <v>0</v>
      </c>
      <c r="M10" s="29">
        <f t="shared" si="4"/>
        <v>0</v>
      </c>
      <c r="N10" s="27">
        <v>0</v>
      </c>
      <c r="O10" s="27">
        <f>TCO!J14</f>
        <v>0</v>
      </c>
      <c r="P10" s="29">
        <f t="shared" si="5"/>
        <v>0</v>
      </c>
      <c r="Q10" s="27">
        <f>'Parametre - Agendové IS'!D133</f>
        <v>0</v>
      </c>
      <c r="R10" s="27">
        <f>'Parametre - Agendové IS'!E133</f>
        <v>0</v>
      </c>
      <c r="S10" s="29">
        <f t="shared" si="0"/>
        <v>0</v>
      </c>
      <c r="T10" s="26">
        <f t="shared" si="6"/>
        <v>31564.799999999999</v>
      </c>
      <c r="U10" s="26">
        <f t="shared" si="7"/>
        <v>1164993.68</v>
      </c>
      <c r="V10" s="29">
        <f t="shared" si="8"/>
        <v>1133428.8799999999</v>
      </c>
    </row>
    <row r="11" spans="1:23" x14ac:dyDescent="0.25">
      <c r="A11" s="25" t="s">
        <v>32</v>
      </c>
      <c r="B11" s="26">
        <f>TCO!K26+TCO!K27</f>
        <v>0</v>
      </c>
      <c r="C11" s="26">
        <f>(TCO!K$12*(1+$W$5))+TCO!K$13</f>
        <v>2851.3519999999999</v>
      </c>
      <c r="D11" s="29">
        <f t="shared" si="1"/>
        <v>2851.3519999999999</v>
      </c>
      <c r="E11" s="27">
        <f>TCO!K22+TCO!K23</f>
        <v>0</v>
      </c>
      <c r="F11" s="26">
        <f>(TCO!K$7*(1+$W$5))+TCO!K$8</f>
        <v>0</v>
      </c>
      <c r="G11" s="29">
        <f t="shared" si="2"/>
        <v>0</v>
      </c>
      <c r="H11" s="26">
        <f>TCO!K24+TCO!K25</f>
        <v>31564.799999999999</v>
      </c>
      <c r="I11" s="26">
        <f>(TCO!K$9*(1+$W$5))+TCO!K$10</f>
        <v>367550.32800000004</v>
      </c>
      <c r="J11" s="29">
        <f t="shared" si="3"/>
        <v>335985.52800000005</v>
      </c>
      <c r="K11" s="27">
        <v>0</v>
      </c>
      <c r="L11" s="27">
        <f>TCO!K11</f>
        <v>0</v>
      </c>
      <c r="M11" s="29">
        <f t="shared" si="4"/>
        <v>0</v>
      </c>
      <c r="N11" s="27">
        <v>0</v>
      </c>
      <c r="O11" s="27">
        <f>TCO!K14</f>
        <v>0</v>
      </c>
      <c r="P11" s="29">
        <f t="shared" si="5"/>
        <v>0</v>
      </c>
      <c r="Q11" s="27">
        <f>'Parametre - Agendové IS'!D134</f>
        <v>0</v>
      </c>
      <c r="R11" s="27">
        <f>'Parametre - Agendové IS'!E134</f>
        <v>0</v>
      </c>
      <c r="S11" s="29">
        <f t="shared" si="0"/>
        <v>0</v>
      </c>
      <c r="T11" s="26">
        <f t="shared" si="6"/>
        <v>31564.799999999999</v>
      </c>
      <c r="U11" s="26">
        <f t="shared" si="7"/>
        <v>370401.68000000005</v>
      </c>
      <c r="V11" s="29">
        <f t="shared" si="8"/>
        <v>338836.88000000006</v>
      </c>
    </row>
    <row r="12" spans="1:23" x14ac:dyDescent="0.25">
      <c r="A12" s="25" t="s">
        <v>33</v>
      </c>
      <c r="B12" s="26">
        <f>TCO!L26+TCO!L27</f>
        <v>0</v>
      </c>
      <c r="C12" s="26">
        <f>(TCO!L$12*(1+$W$5))+TCO!L$13</f>
        <v>2851.3519999999999</v>
      </c>
      <c r="D12" s="29">
        <f t="shared" si="1"/>
        <v>2851.3519999999999</v>
      </c>
      <c r="E12" s="27">
        <f>TCO!L22+TCO!L23</f>
        <v>0</v>
      </c>
      <c r="F12" s="26">
        <f>(TCO!L$7*(1+$W$5))+TCO!L$8</f>
        <v>0</v>
      </c>
      <c r="G12" s="29">
        <f t="shared" si="2"/>
        <v>0</v>
      </c>
      <c r="H12" s="26">
        <f>TCO!L24+TCO!L25</f>
        <v>31564.799999999999</v>
      </c>
      <c r="I12" s="26">
        <f>(TCO!L$9*(1+$W$5))+TCO!L$10</f>
        <v>367550.32800000004</v>
      </c>
      <c r="J12" s="29">
        <f t="shared" si="3"/>
        <v>335985.52800000005</v>
      </c>
      <c r="K12" s="27">
        <v>0</v>
      </c>
      <c r="L12" s="27">
        <f>TCO!L11</f>
        <v>0</v>
      </c>
      <c r="M12" s="29">
        <f t="shared" si="4"/>
        <v>0</v>
      </c>
      <c r="N12" s="27">
        <v>0</v>
      </c>
      <c r="O12" s="27">
        <f>TCO!L14</f>
        <v>0</v>
      </c>
      <c r="P12" s="29">
        <f t="shared" si="5"/>
        <v>0</v>
      </c>
      <c r="Q12" s="27">
        <f>'Parametre - Agendové IS'!D135</f>
        <v>0</v>
      </c>
      <c r="R12" s="27">
        <f>'Parametre - Agendové IS'!E135</f>
        <v>0</v>
      </c>
      <c r="S12" s="29">
        <f t="shared" si="0"/>
        <v>0</v>
      </c>
      <c r="T12" s="26">
        <f t="shared" si="6"/>
        <v>31564.799999999999</v>
      </c>
      <c r="U12" s="26">
        <f t="shared" si="7"/>
        <v>370401.68000000005</v>
      </c>
      <c r="V12" s="29">
        <f t="shared" si="8"/>
        <v>338836.88000000006</v>
      </c>
    </row>
    <row r="13" spans="1:23" ht="15.75" thickBot="1" x14ac:dyDescent="0.3">
      <c r="A13" s="39" t="s">
        <v>34</v>
      </c>
      <c r="B13" s="43">
        <f>TCO!M26+TCO!M27</f>
        <v>0</v>
      </c>
      <c r="C13" s="43">
        <f>(TCO!M$12*(1+$W$5))+TCO!M$13</f>
        <v>2851.3519999999999</v>
      </c>
      <c r="D13" s="133">
        <f t="shared" si="1"/>
        <v>2851.3519999999999</v>
      </c>
      <c r="E13" s="47">
        <f>TCO!M22+TCO!M23</f>
        <v>0</v>
      </c>
      <c r="F13" s="43">
        <f>(TCO!M$7*(1+$W$5))+TCO!M$8</f>
        <v>0</v>
      </c>
      <c r="G13" s="133">
        <f t="shared" si="2"/>
        <v>0</v>
      </c>
      <c r="H13" s="43">
        <f>TCO!M24+TCO!M25</f>
        <v>31564.799999999999</v>
      </c>
      <c r="I13" s="43">
        <f>(TCO!M$9*(1+$W$5))+TCO!M$10</f>
        <v>367550.32800000004</v>
      </c>
      <c r="J13" s="133">
        <f t="shared" si="3"/>
        <v>335985.52800000005</v>
      </c>
      <c r="K13" s="47">
        <v>0</v>
      </c>
      <c r="L13" s="47">
        <f>TCO!M11</f>
        <v>0</v>
      </c>
      <c r="M13" s="133">
        <f t="shared" si="4"/>
        <v>0</v>
      </c>
      <c r="N13" s="47">
        <v>0</v>
      </c>
      <c r="O13" s="47">
        <f>TCO!M14</f>
        <v>0</v>
      </c>
      <c r="P13" s="133">
        <f t="shared" si="5"/>
        <v>0</v>
      </c>
      <c r="Q13" s="47">
        <f>'Parametre - Agendové IS'!D136</f>
        <v>0</v>
      </c>
      <c r="R13" s="47">
        <f>'Parametre - Agendové IS'!E136</f>
        <v>0</v>
      </c>
      <c r="S13" s="133">
        <f t="shared" si="0"/>
        <v>0</v>
      </c>
      <c r="T13" s="26">
        <f t="shared" si="6"/>
        <v>31564.799999999999</v>
      </c>
      <c r="U13" s="26">
        <f t="shared" si="7"/>
        <v>370401.68000000005</v>
      </c>
      <c r="V13" s="133">
        <f t="shared" si="8"/>
        <v>338836.88000000006</v>
      </c>
    </row>
    <row r="14" spans="1:23" x14ac:dyDescent="0.25">
      <c r="A14" s="468" t="s">
        <v>103</v>
      </c>
      <c r="B14" s="459">
        <f>SUM(B4:B13)</f>
        <v>0</v>
      </c>
      <c r="C14" s="457">
        <f t="shared" ref="C14:S14" si="9">SUM(C4:C13)</f>
        <v>1851565.8559999997</v>
      </c>
      <c r="D14" s="456">
        <f t="shared" si="9"/>
        <v>1851565.8559999997</v>
      </c>
      <c r="E14" s="459">
        <f t="shared" si="9"/>
        <v>0</v>
      </c>
      <c r="F14" s="457">
        <f t="shared" si="9"/>
        <v>0</v>
      </c>
      <c r="G14" s="456">
        <f t="shared" si="9"/>
        <v>0</v>
      </c>
      <c r="H14" s="459">
        <f t="shared" si="9"/>
        <v>315647.99999999994</v>
      </c>
      <c r="I14" s="457">
        <f t="shared" si="9"/>
        <v>6171510.6599999992</v>
      </c>
      <c r="J14" s="456">
        <f t="shared" si="9"/>
        <v>5855862.6599999992</v>
      </c>
      <c r="K14" s="459">
        <f t="shared" ref="K14:P14" si="10">SUM(K4:K13)</f>
        <v>0</v>
      </c>
      <c r="L14" s="457">
        <f t="shared" si="10"/>
        <v>0</v>
      </c>
      <c r="M14" s="456">
        <f t="shared" si="10"/>
        <v>0</v>
      </c>
      <c r="N14" s="459">
        <f t="shared" si="10"/>
        <v>0</v>
      </c>
      <c r="O14" s="457">
        <f t="shared" si="10"/>
        <v>196929.37000000002</v>
      </c>
      <c r="P14" s="456">
        <f t="shared" si="10"/>
        <v>196929.37000000002</v>
      </c>
      <c r="Q14" s="459">
        <f t="shared" si="9"/>
        <v>0</v>
      </c>
      <c r="R14" s="457">
        <f t="shared" si="9"/>
        <v>0</v>
      </c>
      <c r="S14" s="456">
        <f t="shared" si="9"/>
        <v>0</v>
      </c>
      <c r="T14" s="469">
        <f>SUM(T4:T13)</f>
        <v>315647.99999999994</v>
      </c>
      <c r="U14" s="470">
        <f>SUM(U4:U13)</f>
        <v>8220005.8859999981</v>
      </c>
      <c r="V14" s="471">
        <f>SUM(V4:V13)</f>
        <v>7904357.885999999</v>
      </c>
    </row>
    <row r="15" spans="1:23" ht="15.75" thickBot="1" x14ac:dyDescent="0.3">
      <c r="A15" s="468" t="s">
        <v>151</v>
      </c>
      <c r="B15" s="467"/>
      <c r="C15" s="465"/>
      <c r="D15" s="463">
        <f>D4+NPV(Faktory!$D$5,D5:D13)</f>
        <v>1595405.2936138296</v>
      </c>
      <c r="E15" s="467"/>
      <c r="F15" s="465"/>
      <c r="G15" s="463">
        <f>G4+NPV(Faktory!$D$5,G5:G13)</f>
        <v>0</v>
      </c>
      <c r="H15" s="467"/>
      <c r="I15" s="465"/>
      <c r="J15" s="463">
        <f>J4+NPV(Faktory!$D$5,J5:J13)</f>
        <v>5152671.9794827895</v>
      </c>
      <c r="K15" s="467"/>
      <c r="L15" s="465"/>
      <c r="M15" s="463">
        <f>M4+NPV(Faktory!$D$5,M5:M13)</f>
        <v>0</v>
      </c>
      <c r="N15" s="467"/>
      <c r="O15" s="465"/>
      <c r="P15" s="463">
        <f>P4+NPV(Faktory!$D$5,P5:P13)</f>
        <v>189197.91525623584</v>
      </c>
      <c r="Q15" s="467"/>
      <c r="R15" s="465"/>
      <c r="S15" s="463">
        <f>S4+NPV(Faktory!$D$5,S5:S13)</f>
        <v>0</v>
      </c>
      <c r="T15" s="472"/>
      <c r="U15" s="473"/>
      <c r="V15" s="474">
        <f>V4+NPV(Faktory!$D$5,V5:V13)</f>
        <v>6937275.1883528568</v>
      </c>
    </row>
    <row r="16" spans="1:23" x14ac:dyDescent="0.25">
      <c r="A16" s="7"/>
      <c r="B16" s="7"/>
      <c r="C16" s="7"/>
      <c r="D16" s="125"/>
      <c r="E16" s="7"/>
      <c r="F16" s="7"/>
      <c r="G16" s="125"/>
      <c r="H16" s="7"/>
      <c r="I16" s="7"/>
      <c r="J16" s="125"/>
      <c r="K16" s="125"/>
      <c r="L16" s="125"/>
      <c r="M16" s="125"/>
      <c r="N16" s="125"/>
      <c r="O16" s="125"/>
      <c r="P16" s="125"/>
      <c r="Q16" s="7"/>
      <c r="R16" s="7"/>
      <c r="S16" s="125"/>
      <c r="T16" s="134"/>
      <c r="U16" s="134"/>
      <c r="V16" s="134"/>
    </row>
    <row r="17" spans="1:2" x14ac:dyDescent="0.25">
      <c r="A17" s="7"/>
      <c r="B17" s="101" t="s">
        <v>160</v>
      </c>
    </row>
    <row r="22" spans="1:2" x14ac:dyDescent="0.25">
      <c r="B22" s="135"/>
    </row>
  </sheetData>
  <mergeCells count="10">
    <mergeCell ref="Q1:S1"/>
    <mergeCell ref="T1:V1"/>
    <mergeCell ref="B2:D2"/>
    <mergeCell ref="E2:G2"/>
    <mergeCell ref="H2:J2"/>
    <mergeCell ref="Q2:S2"/>
    <mergeCell ref="N1:P1"/>
    <mergeCell ref="N2:P2"/>
    <mergeCell ref="K2:M2"/>
    <mergeCell ref="B1:M1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S166"/>
  <sheetViews>
    <sheetView showGridLines="0" tabSelected="1" zoomScaleNormal="100" workbookViewId="0">
      <pane xSplit="2" ySplit="5" topLeftCell="C6" activePane="bottomRight" state="frozen"/>
      <selection activeCell="C47" sqref="C47"/>
      <selection pane="topRight" activeCell="C47" sqref="C47"/>
      <selection pane="bottomLeft" activeCell="C47" sqref="C47"/>
      <selection pane="bottomRight" activeCell="C47" sqref="C47"/>
    </sheetView>
  </sheetViews>
  <sheetFormatPr defaultColWidth="9.140625" defaultRowHeight="15" x14ac:dyDescent="0.25"/>
  <cols>
    <col min="1" max="1" width="30.42578125" style="7" customWidth="1"/>
    <col min="2" max="2" width="9.85546875" style="7" bestFit="1" customWidth="1"/>
    <col min="3" max="3" width="8.85546875" style="7" bestFit="1" customWidth="1"/>
    <col min="4" max="4" width="14.42578125" style="7" bestFit="1" customWidth="1"/>
    <col min="5" max="5" width="15.5703125" style="7" bestFit="1" customWidth="1"/>
    <col min="6" max="6" width="14.42578125" style="7" bestFit="1" customWidth="1"/>
    <col min="7" max="7" width="12.5703125" style="7" customWidth="1"/>
    <col min="8" max="8" width="12" style="391" customWidth="1"/>
    <col min="9" max="9" width="12" style="7" customWidth="1"/>
    <col min="10" max="10" width="11.42578125" style="7" customWidth="1"/>
    <col min="11" max="11" width="11.42578125" style="7" bestFit="1" customWidth="1"/>
    <col min="12" max="12" width="8.5703125" style="7" bestFit="1" customWidth="1"/>
    <col min="13" max="13" width="10.140625" style="392" customWidth="1"/>
    <col min="14" max="14" width="11.85546875" style="391" customWidth="1"/>
    <col min="15" max="15" width="8.5703125" style="7" bestFit="1" customWidth="1"/>
    <col min="16" max="16" width="8.140625" style="392" customWidth="1"/>
    <col min="17" max="17" width="9.5703125" style="391" bestFit="1" customWidth="1"/>
    <col min="18" max="18" width="8.140625" style="7" customWidth="1"/>
    <col min="19" max="19" width="14.5703125" style="279" customWidth="1"/>
    <col min="20" max="22" width="9.140625" style="7"/>
    <col min="23" max="23" width="12.42578125" style="7" bestFit="1" customWidth="1"/>
    <col min="24" max="258" width="9.140625" style="7"/>
    <col min="259" max="259" width="1.5703125" style="7" customWidth="1"/>
    <col min="260" max="260" width="19.140625" style="7" customWidth="1"/>
    <col min="261" max="261" width="35.140625" style="7" customWidth="1"/>
    <col min="262" max="262" width="9.85546875" style="7" bestFit="1" customWidth="1"/>
    <col min="263" max="263" width="8.85546875" style="7" bestFit="1" customWidth="1"/>
    <col min="264" max="274" width="10.42578125" style="7" customWidth="1"/>
    <col min="275" max="514" width="9.140625" style="7"/>
    <col min="515" max="515" width="1.5703125" style="7" customWidth="1"/>
    <col min="516" max="516" width="19.140625" style="7" customWidth="1"/>
    <col min="517" max="517" width="35.140625" style="7" customWidth="1"/>
    <col min="518" max="518" width="9.85546875" style="7" bestFit="1" customWidth="1"/>
    <col min="519" max="519" width="8.85546875" style="7" bestFit="1" customWidth="1"/>
    <col min="520" max="530" width="10.42578125" style="7" customWidth="1"/>
    <col min="531" max="770" width="9.140625" style="7"/>
    <col min="771" max="771" width="1.5703125" style="7" customWidth="1"/>
    <col min="772" max="772" width="19.140625" style="7" customWidth="1"/>
    <col min="773" max="773" width="35.140625" style="7" customWidth="1"/>
    <col min="774" max="774" width="9.85546875" style="7" bestFit="1" customWidth="1"/>
    <col min="775" max="775" width="8.85546875" style="7" bestFit="1" customWidth="1"/>
    <col min="776" max="786" width="10.42578125" style="7" customWidth="1"/>
    <col min="787" max="1026" width="9.140625" style="7"/>
    <col min="1027" max="1027" width="1.5703125" style="7" customWidth="1"/>
    <col min="1028" max="1028" width="19.140625" style="7" customWidth="1"/>
    <col min="1029" max="1029" width="35.140625" style="7" customWidth="1"/>
    <col min="1030" max="1030" width="9.85546875" style="7" bestFit="1" customWidth="1"/>
    <col min="1031" max="1031" width="8.85546875" style="7" bestFit="1" customWidth="1"/>
    <col min="1032" max="1042" width="10.42578125" style="7" customWidth="1"/>
    <col min="1043" max="1282" width="9.140625" style="7"/>
    <col min="1283" max="1283" width="1.5703125" style="7" customWidth="1"/>
    <col min="1284" max="1284" width="19.140625" style="7" customWidth="1"/>
    <col min="1285" max="1285" width="35.140625" style="7" customWidth="1"/>
    <col min="1286" max="1286" width="9.85546875" style="7" bestFit="1" customWidth="1"/>
    <col min="1287" max="1287" width="8.85546875" style="7" bestFit="1" customWidth="1"/>
    <col min="1288" max="1298" width="10.42578125" style="7" customWidth="1"/>
    <col min="1299" max="1538" width="9.140625" style="7"/>
    <col min="1539" max="1539" width="1.5703125" style="7" customWidth="1"/>
    <col min="1540" max="1540" width="19.140625" style="7" customWidth="1"/>
    <col min="1541" max="1541" width="35.140625" style="7" customWidth="1"/>
    <col min="1542" max="1542" width="9.85546875" style="7" bestFit="1" customWidth="1"/>
    <col min="1543" max="1543" width="8.85546875" style="7" bestFit="1" customWidth="1"/>
    <col min="1544" max="1554" width="10.42578125" style="7" customWidth="1"/>
    <col min="1555" max="1794" width="9.140625" style="7"/>
    <col min="1795" max="1795" width="1.5703125" style="7" customWidth="1"/>
    <col min="1796" max="1796" width="19.140625" style="7" customWidth="1"/>
    <col min="1797" max="1797" width="35.140625" style="7" customWidth="1"/>
    <col min="1798" max="1798" width="9.85546875" style="7" bestFit="1" customWidth="1"/>
    <col min="1799" max="1799" width="8.85546875" style="7" bestFit="1" customWidth="1"/>
    <col min="1800" max="1810" width="10.42578125" style="7" customWidth="1"/>
    <col min="1811" max="2050" width="9.140625" style="7"/>
    <col min="2051" max="2051" width="1.5703125" style="7" customWidth="1"/>
    <col min="2052" max="2052" width="19.140625" style="7" customWidth="1"/>
    <col min="2053" max="2053" width="35.140625" style="7" customWidth="1"/>
    <col min="2054" max="2054" width="9.85546875" style="7" bestFit="1" customWidth="1"/>
    <col min="2055" max="2055" width="8.85546875" style="7" bestFit="1" customWidth="1"/>
    <col min="2056" max="2066" width="10.42578125" style="7" customWidth="1"/>
    <col min="2067" max="2306" width="9.140625" style="7"/>
    <col min="2307" max="2307" width="1.5703125" style="7" customWidth="1"/>
    <col min="2308" max="2308" width="19.140625" style="7" customWidth="1"/>
    <col min="2309" max="2309" width="35.140625" style="7" customWidth="1"/>
    <col min="2310" max="2310" width="9.85546875" style="7" bestFit="1" customWidth="1"/>
    <col min="2311" max="2311" width="8.85546875" style="7" bestFit="1" customWidth="1"/>
    <col min="2312" max="2322" width="10.42578125" style="7" customWidth="1"/>
    <col min="2323" max="2562" width="9.140625" style="7"/>
    <col min="2563" max="2563" width="1.5703125" style="7" customWidth="1"/>
    <col min="2564" max="2564" width="19.140625" style="7" customWidth="1"/>
    <col min="2565" max="2565" width="35.140625" style="7" customWidth="1"/>
    <col min="2566" max="2566" width="9.85546875" style="7" bestFit="1" customWidth="1"/>
    <col min="2567" max="2567" width="8.85546875" style="7" bestFit="1" customWidth="1"/>
    <col min="2568" max="2578" width="10.42578125" style="7" customWidth="1"/>
    <col min="2579" max="2818" width="9.140625" style="7"/>
    <col min="2819" max="2819" width="1.5703125" style="7" customWidth="1"/>
    <col min="2820" max="2820" width="19.140625" style="7" customWidth="1"/>
    <col min="2821" max="2821" width="35.140625" style="7" customWidth="1"/>
    <col min="2822" max="2822" width="9.85546875" style="7" bestFit="1" customWidth="1"/>
    <col min="2823" max="2823" width="8.85546875" style="7" bestFit="1" customWidth="1"/>
    <col min="2824" max="2834" width="10.42578125" style="7" customWidth="1"/>
    <col min="2835" max="3074" width="9.140625" style="7"/>
    <col min="3075" max="3075" width="1.5703125" style="7" customWidth="1"/>
    <col min="3076" max="3076" width="19.140625" style="7" customWidth="1"/>
    <col min="3077" max="3077" width="35.140625" style="7" customWidth="1"/>
    <col min="3078" max="3078" width="9.85546875" style="7" bestFit="1" customWidth="1"/>
    <col min="3079" max="3079" width="8.85546875" style="7" bestFit="1" customWidth="1"/>
    <col min="3080" max="3090" width="10.42578125" style="7" customWidth="1"/>
    <col min="3091" max="3330" width="9.140625" style="7"/>
    <col min="3331" max="3331" width="1.5703125" style="7" customWidth="1"/>
    <col min="3332" max="3332" width="19.140625" style="7" customWidth="1"/>
    <col min="3333" max="3333" width="35.140625" style="7" customWidth="1"/>
    <col min="3334" max="3334" width="9.85546875" style="7" bestFit="1" customWidth="1"/>
    <col min="3335" max="3335" width="8.85546875" style="7" bestFit="1" customWidth="1"/>
    <col min="3336" max="3346" width="10.42578125" style="7" customWidth="1"/>
    <col min="3347" max="3586" width="9.140625" style="7"/>
    <col min="3587" max="3587" width="1.5703125" style="7" customWidth="1"/>
    <col min="3588" max="3588" width="19.140625" style="7" customWidth="1"/>
    <col min="3589" max="3589" width="35.140625" style="7" customWidth="1"/>
    <col min="3590" max="3590" width="9.85546875" style="7" bestFit="1" customWidth="1"/>
    <col min="3591" max="3591" width="8.85546875" style="7" bestFit="1" customWidth="1"/>
    <col min="3592" max="3602" width="10.42578125" style="7" customWidth="1"/>
    <col min="3603" max="3842" width="9.140625" style="7"/>
    <col min="3843" max="3843" width="1.5703125" style="7" customWidth="1"/>
    <col min="3844" max="3844" width="19.140625" style="7" customWidth="1"/>
    <col min="3845" max="3845" width="35.140625" style="7" customWidth="1"/>
    <col min="3846" max="3846" width="9.85546875" style="7" bestFit="1" customWidth="1"/>
    <col min="3847" max="3847" width="8.85546875" style="7" bestFit="1" customWidth="1"/>
    <col min="3848" max="3858" width="10.42578125" style="7" customWidth="1"/>
    <col min="3859" max="4098" width="9.140625" style="7"/>
    <col min="4099" max="4099" width="1.5703125" style="7" customWidth="1"/>
    <col min="4100" max="4100" width="19.140625" style="7" customWidth="1"/>
    <col min="4101" max="4101" width="35.140625" style="7" customWidth="1"/>
    <col min="4102" max="4102" width="9.85546875" style="7" bestFit="1" customWidth="1"/>
    <col min="4103" max="4103" width="8.85546875" style="7" bestFit="1" customWidth="1"/>
    <col min="4104" max="4114" width="10.42578125" style="7" customWidth="1"/>
    <col min="4115" max="4354" width="9.140625" style="7"/>
    <col min="4355" max="4355" width="1.5703125" style="7" customWidth="1"/>
    <col min="4356" max="4356" width="19.140625" style="7" customWidth="1"/>
    <col min="4357" max="4357" width="35.140625" style="7" customWidth="1"/>
    <col min="4358" max="4358" width="9.85546875" style="7" bestFit="1" customWidth="1"/>
    <col min="4359" max="4359" width="8.85546875" style="7" bestFit="1" customWidth="1"/>
    <col min="4360" max="4370" width="10.42578125" style="7" customWidth="1"/>
    <col min="4371" max="4610" width="9.140625" style="7"/>
    <col min="4611" max="4611" width="1.5703125" style="7" customWidth="1"/>
    <col min="4612" max="4612" width="19.140625" style="7" customWidth="1"/>
    <col min="4613" max="4613" width="35.140625" style="7" customWidth="1"/>
    <col min="4614" max="4614" width="9.85546875" style="7" bestFit="1" customWidth="1"/>
    <col min="4615" max="4615" width="8.85546875" style="7" bestFit="1" customWidth="1"/>
    <col min="4616" max="4626" width="10.42578125" style="7" customWidth="1"/>
    <col min="4627" max="4866" width="9.140625" style="7"/>
    <col min="4867" max="4867" width="1.5703125" style="7" customWidth="1"/>
    <col min="4868" max="4868" width="19.140625" style="7" customWidth="1"/>
    <col min="4869" max="4869" width="35.140625" style="7" customWidth="1"/>
    <col min="4870" max="4870" width="9.85546875" style="7" bestFit="1" customWidth="1"/>
    <col min="4871" max="4871" width="8.85546875" style="7" bestFit="1" customWidth="1"/>
    <col min="4872" max="4882" width="10.42578125" style="7" customWidth="1"/>
    <col min="4883" max="5122" width="9.140625" style="7"/>
    <col min="5123" max="5123" width="1.5703125" style="7" customWidth="1"/>
    <col min="5124" max="5124" width="19.140625" style="7" customWidth="1"/>
    <col min="5125" max="5125" width="35.140625" style="7" customWidth="1"/>
    <col min="5126" max="5126" width="9.85546875" style="7" bestFit="1" customWidth="1"/>
    <col min="5127" max="5127" width="8.85546875" style="7" bestFit="1" customWidth="1"/>
    <col min="5128" max="5138" width="10.42578125" style="7" customWidth="1"/>
    <col min="5139" max="5378" width="9.140625" style="7"/>
    <col min="5379" max="5379" width="1.5703125" style="7" customWidth="1"/>
    <col min="5380" max="5380" width="19.140625" style="7" customWidth="1"/>
    <col min="5381" max="5381" width="35.140625" style="7" customWidth="1"/>
    <col min="5382" max="5382" width="9.85546875" style="7" bestFit="1" customWidth="1"/>
    <col min="5383" max="5383" width="8.85546875" style="7" bestFit="1" customWidth="1"/>
    <col min="5384" max="5394" width="10.42578125" style="7" customWidth="1"/>
    <col min="5395" max="5634" width="9.140625" style="7"/>
    <col min="5635" max="5635" width="1.5703125" style="7" customWidth="1"/>
    <col min="5636" max="5636" width="19.140625" style="7" customWidth="1"/>
    <col min="5637" max="5637" width="35.140625" style="7" customWidth="1"/>
    <col min="5638" max="5638" width="9.85546875" style="7" bestFit="1" customWidth="1"/>
    <col min="5639" max="5639" width="8.85546875" style="7" bestFit="1" customWidth="1"/>
    <col min="5640" max="5650" width="10.42578125" style="7" customWidth="1"/>
    <col min="5651" max="5890" width="9.140625" style="7"/>
    <col min="5891" max="5891" width="1.5703125" style="7" customWidth="1"/>
    <col min="5892" max="5892" width="19.140625" style="7" customWidth="1"/>
    <col min="5893" max="5893" width="35.140625" style="7" customWidth="1"/>
    <col min="5894" max="5894" width="9.85546875" style="7" bestFit="1" customWidth="1"/>
    <col min="5895" max="5895" width="8.85546875" style="7" bestFit="1" customWidth="1"/>
    <col min="5896" max="5906" width="10.42578125" style="7" customWidth="1"/>
    <col min="5907" max="6146" width="9.140625" style="7"/>
    <col min="6147" max="6147" width="1.5703125" style="7" customWidth="1"/>
    <col min="6148" max="6148" width="19.140625" style="7" customWidth="1"/>
    <col min="6149" max="6149" width="35.140625" style="7" customWidth="1"/>
    <col min="6150" max="6150" width="9.85546875" style="7" bestFit="1" customWidth="1"/>
    <col min="6151" max="6151" width="8.85546875" style="7" bestFit="1" customWidth="1"/>
    <col min="6152" max="6162" width="10.42578125" style="7" customWidth="1"/>
    <col min="6163" max="6402" width="9.140625" style="7"/>
    <col min="6403" max="6403" width="1.5703125" style="7" customWidth="1"/>
    <col min="6404" max="6404" width="19.140625" style="7" customWidth="1"/>
    <col min="6405" max="6405" width="35.140625" style="7" customWidth="1"/>
    <col min="6406" max="6406" width="9.85546875" style="7" bestFit="1" customWidth="1"/>
    <col min="6407" max="6407" width="8.85546875" style="7" bestFit="1" customWidth="1"/>
    <col min="6408" max="6418" width="10.42578125" style="7" customWidth="1"/>
    <col min="6419" max="6658" width="9.140625" style="7"/>
    <col min="6659" max="6659" width="1.5703125" style="7" customWidth="1"/>
    <col min="6660" max="6660" width="19.140625" style="7" customWidth="1"/>
    <col min="6661" max="6661" width="35.140625" style="7" customWidth="1"/>
    <col min="6662" max="6662" width="9.85546875" style="7" bestFit="1" customWidth="1"/>
    <col min="6663" max="6663" width="8.85546875" style="7" bestFit="1" customWidth="1"/>
    <col min="6664" max="6674" width="10.42578125" style="7" customWidth="1"/>
    <col min="6675" max="6914" width="9.140625" style="7"/>
    <col min="6915" max="6915" width="1.5703125" style="7" customWidth="1"/>
    <col min="6916" max="6916" width="19.140625" style="7" customWidth="1"/>
    <col min="6917" max="6917" width="35.140625" style="7" customWidth="1"/>
    <col min="6918" max="6918" width="9.85546875" style="7" bestFit="1" customWidth="1"/>
    <col min="6919" max="6919" width="8.85546875" style="7" bestFit="1" customWidth="1"/>
    <col min="6920" max="6930" width="10.42578125" style="7" customWidth="1"/>
    <col min="6931" max="7170" width="9.140625" style="7"/>
    <col min="7171" max="7171" width="1.5703125" style="7" customWidth="1"/>
    <col min="7172" max="7172" width="19.140625" style="7" customWidth="1"/>
    <col min="7173" max="7173" width="35.140625" style="7" customWidth="1"/>
    <col min="7174" max="7174" width="9.85546875" style="7" bestFit="1" customWidth="1"/>
    <col min="7175" max="7175" width="8.85546875" style="7" bestFit="1" customWidth="1"/>
    <col min="7176" max="7186" width="10.42578125" style="7" customWidth="1"/>
    <col min="7187" max="7426" width="9.140625" style="7"/>
    <col min="7427" max="7427" width="1.5703125" style="7" customWidth="1"/>
    <col min="7428" max="7428" width="19.140625" style="7" customWidth="1"/>
    <col min="7429" max="7429" width="35.140625" style="7" customWidth="1"/>
    <col min="7430" max="7430" width="9.85546875" style="7" bestFit="1" customWidth="1"/>
    <col min="7431" max="7431" width="8.85546875" style="7" bestFit="1" customWidth="1"/>
    <col min="7432" max="7442" width="10.42578125" style="7" customWidth="1"/>
    <col min="7443" max="7682" width="9.140625" style="7"/>
    <col min="7683" max="7683" width="1.5703125" style="7" customWidth="1"/>
    <col min="7684" max="7684" width="19.140625" style="7" customWidth="1"/>
    <col min="7685" max="7685" width="35.140625" style="7" customWidth="1"/>
    <col min="7686" max="7686" width="9.85546875" style="7" bestFit="1" customWidth="1"/>
    <col min="7687" max="7687" width="8.85546875" style="7" bestFit="1" customWidth="1"/>
    <col min="7688" max="7698" width="10.42578125" style="7" customWidth="1"/>
    <col min="7699" max="7938" width="9.140625" style="7"/>
    <col min="7939" max="7939" width="1.5703125" style="7" customWidth="1"/>
    <col min="7940" max="7940" width="19.140625" style="7" customWidth="1"/>
    <col min="7941" max="7941" width="35.140625" style="7" customWidth="1"/>
    <col min="7942" max="7942" width="9.85546875" style="7" bestFit="1" customWidth="1"/>
    <col min="7943" max="7943" width="8.85546875" style="7" bestFit="1" customWidth="1"/>
    <col min="7944" max="7954" width="10.42578125" style="7" customWidth="1"/>
    <col min="7955" max="8194" width="9.140625" style="7"/>
    <col min="8195" max="8195" width="1.5703125" style="7" customWidth="1"/>
    <col min="8196" max="8196" width="19.140625" style="7" customWidth="1"/>
    <col min="8197" max="8197" width="35.140625" style="7" customWidth="1"/>
    <col min="8198" max="8198" width="9.85546875" style="7" bestFit="1" customWidth="1"/>
    <col min="8199" max="8199" width="8.85546875" style="7" bestFit="1" customWidth="1"/>
    <col min="8200" max="8210" width="10.42578125" style="7" customWidth="1"/>
    <col min="8211" max="8450" width="9.140625" style="7"/>
    <col min="8451" max="8451" width="1.5703125" style="7" customWidth="1"/>
    <col min="8452" max="8452" width="19.140625" style="7" customWidth="1"/>
    <col min="8453" max="8453" width="35.140625" style="7" customWidth="1"/>
    <col min="8454" max="8454" width="9.85546875" style="7" bestFit="1" customWidth="1"/>
    <col min="8455" max="8455" width="8.85546875" style="7" bestFit="1" customWidth="1"/>
    <col min="8456" max="8466" width="10.42578125" style="7" customWidth="1"/>
    <col min="8467" max="8706" width="9.140625" style="7"/>
    <col min="8707" max="8707" width="1.5703125" style="7" customWidth="1"/>
    <col min="8708" max="8708" width="19.140625" style="7" customWidth="1"/>
    <col min="8709" max="8709" width="35.140625" style="7" customWidth="1"/>
    <col min="8710" max="8710" width="9.85546875" style="7" bestFit="1" customWidth="1"/>
    <col min="8711" max="8711" width="8.85546875" style="7" bestFit="1" customWidth="1"/>
    <col min="8712" max="8722" width="10.42578125" style="7" customWidth="1"/>
    <col min="8723" max="8962" width="9.140625" style="7"/>
    <col min="8963" max="8963" width="1.5703125" style="7" customWidth="1"/>
    <col min="8964" max="8964" width="19.140625" style="7" customWidth="1"/>
    <col min="8965" max="8965" width="35.140625" style="7" customWidth="1"/>
    <col min="8966" max="8966" width="9.85546875" style="7" bestFit="1" customWidth="1"/>
    <col min="8967" max="8967" width="8.85546875" style="7" bestFit="1" customWidth="1"/>
    <col min="8968" max="8978" width="10.42578125" style="7" customWidth="1"/>
    <col min="8979" max="9218" width="9.140625" style="7"/>
    <col min="9219" max="9219" width="1.5703125" style="7" customWidth="1"/>
    <col min="9220" max="9220" width="19.140625" style="7" customWidth="1"/>
    <col min="9221" max="9221" width="35.140625" style="7" customWidth="1"/>
    <col min="9222" max="9222" width="9.85546875" style="7" bestFit="1" customWidth="1"/>
    <col min="9223" max="9223" width="8.85546875" style="7" bestFit="1" customWidth="1"/>
    <col min="9224" max="9234" width="10.42578125" style="7" customWidth="1"/>
    <col min="9235" max="9474" width="9.140625" style="7"/>
    <col min="9475" max="9475" width="1.5703125" style="7" customWidth="1"/>
    <col min="9476" max="9476" width="19.140625" style="7" customWidth="1"/>
    <col min="9477" max="9477" width="35.140625" style="7" customWidth="1"/>
    <col min="9478" max="9478" width="9.85546875" style="7" bestFit="1" customWidth="1"/>
    <col min="9479" max="9479" width="8.85546875" style="7" bestFit="1" customWidth="1"/>
    <col min="9480" max="9490" width="10.42578125" style="7" customWidth="1"/>
    <col min="9491" max="9730" width="9.140625" style="7"/>
    <col min="9731" max="9731" width="1.5703125" style="7" customWidth="1"/>
    <col min="9732" max="9732" width="19.140625" style="7" customWidth="1"/>
    <col min="9733" max="9733" width="35.140625" style="7" customWidth="1"/>
    <col min="9734" max="9734" width="9.85546875" style="7" bestFit="1" customWidth="1"/>
    <col min="9735" max="9735" width="8.85546875" style="7" bestFit="1" customWidth="1"/>
    <col min="9736" max="9746" width="10.42578125" style="7" customWidth="1"/>
    <col min="9747" max="9986" width="9.140625" style="7"/>
    <col min="9987" max="9987" width="1.5703125" style="7" customWidth="1"/>
    <col min="9988" max="9988" width="19.140625" style="7" customWidth="1"/>
    <col min="9989" max="9989" width="35.140625" style="7" customWidth="1"/>
    <col min="9990" max="9990" width="9.85546875" style="7" bestFit="1" customWidth="1"/>
    <col min="9991" max="9991" width="8.85546875" style="7" bestFit="1" customWidth="1"/>
    <col min="9992" max="10002" width="10.42578125" style="7" customWidth="1"/>
    <col min="10003" max="10242" width="9.140625" style="7"/>
    <col min="10243" max="10243" width="1.5703125" style="7" customWidth="1"/>
    <col min="10244" max="10244" width="19.140625" style="7" customWidth="1"/>
    <col min="10245" max="10245" width="35.140625" style="7" customWidth="1"/>
    <col min="10246" max="10246" width="9.85546875" style="7" bestFit="1" customWidth="1"/>
    <col min="10247" max="10247" width="8.85546875" style="7" bestFit="1" customWidth="1"/>
    <col min="10248" max="10258" width="10.42578125" style="7" customWidth="1"/>
    <col min="10259" max="10498" width="9.140625" style="7"/>
    <col min="10499" max="10499" width="1.5703125" style="7" customWidth="1"/>
    <col min="10500" max="10500" width="19.140625" style="7" customWidth="1"/>
    <col min="10501" max="10501" width="35.140625" style="7" customWidth="1"/>
    <col min="10502" max="10502" width="9.85546875" style="7" bestFit="1" customWidth="1"/>
    <col min="10503" max="10503" width="8.85546875" style="7" bestFit="1" customWidth="1"/>
    <col min="10504" max="10514" width="10.42578125" style="7" customWidth="1"/>
    <col min="10515" max="10754" width="9.140625" style="7"/>
    <col min="10755" max="10755" width="1.5703125" style="7" customWidth="1"/>
    <col min="10756" max="10756" width="19.140625" style="7" customWidth="1"/>
    <col min="10757" max="10757" width="35.140625" style="7" customWidth="1"/>
    <col min="10758" max="10758" width="9.85546875" style="7" bestFit="1" customWidth="1"/>
    <col min="10759" max="10759" width="8.85546875" style="7" bestFit="1" customWidth="1"/>
    <col min="10760" max="10770" width="10.42578125" style="7" customWidth="1"/>
    <col min="10771" max="11010" width="9.140625" style="7"/>
    <col min="11011" max="11011" width="1.5703125" style="7" customWidth="1"/>
    <col min="11012" max="11012" width="19.140625" style="7" customWidth="1"/>
    <col min="11013" max="11013" width="35.140625" style="7" customWidth="1"/>
    <col min="11014" max="11014" width="9.85546875" style="7" bestFit="1" customWidth="1"/>
    <col min="11015" max="11015" width="8.85546875" style="7" bestFit="1" customWidth="1"/>
    <col min="11016" max="11026" width="10.42578125" style="7" customWidth="1"/>
    <col min="11027" max="11266" width="9.140625" style="7"/>
    <col min="11267" max="11267" width="1.5703125" style="7" customWidth="1"/>
    <col min="11268" max="11268" width="19.140625" style="7" customWidth="1"/>
    <col min="11269" max="11269" width="35.140625" style="7" customWidth="1"/>
    <col min="11270" max="11270" width="9.85546875" style="7" bestFit="1" customWidth="1"/>
    <col min="11271" max="11271" width="8.85546875" style="7" bestFit="1" customWidth="1"/>
    <col min="11272" max="11282" width="10.42578125" style="7" customWidth="1"/>
    <col min="11283" max="11522" width="9.140625" style="7"/>
    <col min="11523" max="11523" width="1.5703125" style="7" customWidth="1"/>
    <col min="11524" max="11524" width="19.140625" style="7" customWidth="1"/>
    <col min="11525" max="11525" width="35.140625" style="7" customWidth="1"/>
    <col min="11526" max="11526" width="9.85546875" style="7" bestFit="1" customWidth="1"/>
    <col min="11527" max="11527" width="8.85546875" style="7" bestFit="1" customWidth="1"/>
    <col min="11528" max="11538" width="10.42578125" style="7" customWidth="1"/>
    <col min="11539" max="11778" width="9.140625" style="7"/>
    <col min="11779" max="11779" width="1.5703125" style="7" customWidth="1"/>
    <col min="11780" max="11780" width="19.140625" style="7" customWidth="1"/>
    <col min="11781" max="11781" width="35.140625" style="7" customWidth="1"/>
    <col min="11782" max="11782" width="9.85546875" style="7" bestFit="1" customWidth="1"/>
    <col min="11783" max="11783" width="8.85546875" style="7" bestFit="1" customWidth="1"/>
    <col min="11784" max="11794" width="10.42578125" style="7" customWidth="1"/>
    <col min="11795" max="12034" width="9.140625" style="7"/>
    <col min="12035" max="12035" width="1.5703125" style="7" customWidth="1"/>
    <col min="12036" max="12036" width="19.140625" style="7" customWidth="1"/>
    <col min="12037" max="12037" width="35.140625" style="7" customWidth="1"/>
    <col min="12038" max="12038" width="9.85546875" style="7" bestFit="1" customWidth="1"/>
    <col min="12039" max="12039" width="8.85546875" style="7" bestFit="1" customWidth="1"/>
    <col min="12040" max="12050" width="10.42578125" style="7" customWidth="1"/>
    <col min="12051" max="12290" width="9.140625" style="7"/>
    <col min="12291" max="12291" width="1.5703125" style="7" customWidth="1"/>
    <col min="12292" max="12292" width="19.140625" style="7" customWidth="1"/>
    <col min="12293" max="12293" width="35.140625" style="7" customWidth="1"/>
    <col min="12294" max="12294" width="9.85546875" style="7" bestFit="1" customWidth="1"/>
    <col min="12295" max="12295" width="8.85546875" style="7" bestFit="1" customWidth="1"/>
    <col min="12296" max="12306" width="10.42578125" style="7" customWidth="1"/>
    <col min="12307" max="12546" width="9.140625" style="7"/>
    <col min="12547" max="12547" width="1.5703125" style="7" customWidth="1"/>
    <col min="12548" max="12548" width="19.140625" style="7" customWidth="1"/>
    <col min="12549" max="12549" width="35.140625" style="7" customWidth="1"/>
    <col min="12550" max="12550" width="9.85546875" style="7" bestFit="1" customWidth="1"/>
    <col min="12551" max="12551" width="8.85546875" style="7" bestFit="1" customWidth="1"/>
    <col min="12552" max="12562" width="10.42578125" style="7" customWidth="1"/>
    <col min="12563" max="12802" width="9.140625" style="7"/>
    <col min="12803" max="12803" width="1.5703125" style="7" customWidth="1"/>
    <col min="12804" max="12804" width="19.140625" style="7" customWidth="1"/>
    <col min="12805" max="12805" width="35.140625" style="7" customWidth="1"/>
    <col min="12806" max="12806" width="9.85546875" style="7" bestFit="1" customWidth="1"/>
    <col min="12807" max="12807" width="8.85546875" style="7" bestFit="1" customWidth="1"/>
    <col min="12808" max="12818" width="10.42578125" style="7" customWidth="1"/>
    <col min="12819" max="13058" width="9.140625" style="7"/>
    <col min="13059" max="13059" width="1.5703125" style="7" customWidth="1"/>
    <col min="13060" max="13060" width="19.140625" style="7" customWidth="1"/>
    <col min="13061" max="13061" width="35.140625" style="7" customWidth="1"/>
    <col min="13062" max="13062" width="9.85546875" style="7" bestFit="1" customWidth="1"/>
    <col min="13063" max="13063" width="8.85546875" style="7" bestFit="1" customWidth="1"/>
    <col min="13064" max="13074" width="10.42578125" style="7" customWidth="1"/>
    <col min="13075" max="13314" width="9.140625" style="7"/>
    <col min="13315" max="13315" width="1.5703125" style="7" customWidth="1"/>
    <col min="13316" max="13316" width="19.140625" style="7" customWidth="1"/>
    <col min="13317" max="13317" width="35.140625" style="7" customWidth="1"/>
    <col min="13318" max="13318" width="9.85546875" style="7" bestFit="1" customWidth="1"/>
    <col min="13319" max="13319" width="8.85546875" style="7" bestFit="1" customWidth="1"/>
    <col min="13320" max="13330" width="10.42578125" style="7" customWidth="1"/>
    <col min="13331" max="13570" width="9.140625" style="7"/>
    <col min="13571" max="13571" width="1.5703125" style="7" customWidth="1"/>
    <col min="13572" max="13572" width="19.140625" style="7" customWidth="1"/>
    <col min="13573" max="13573" width="35.140625" style="7" customWidth="1"/>
    <col min="13574" max="13574" width="9.85546875" style="7" bestFit="1" customWidth="1"/>
    <col min="13575" max="13575" width="8.85546875" style="7" bestFit="1" customWidth="1"/>
    <col min="13576" max="13586" width="10.42578125" style="7" customWidth="1"/>
    <col min="13587" max="13826" width="9.140625" style="7"/>
    <col min="13827" max="13827" width="1.5703125" style="7" customWidth="1"/>
    <col min="13828" max="13828" width="19.140625" style="7" customWidth="1"/>
    <col min="13829" max="13829" width="35.140625" style="7" customWidth="1"/>
    <col min="13830" max="13830" width="9.85546875" style="7" bestFit="1" customWidth="1"/>
    <col min="13831" max="13831" width="8.85546875" style="7" bestFit="1" customWidth="1"/>
    <col min="13832" max="13842" width="10.42578125" style="7" customWidth="1"/>
    <col min="13843" max="14082" width="9.140625" style="7"/>
    <col min="14083" max="14083" width="1.5703125" style="7" customWidth="1"/>
    <col min="14084" max="14084" width="19.140625" style="7" customWidth="1"/>
    <col min="14085" max="14085" width="35.140625" style="7" customWidth="1"/>
    <col min="14086" max="14086" width="9.85546875" style="7" bestFit="1" customWidth="1"/>
    <col min="14087" max="14087" width="8.85546875" style="7" bestFit="1" customWidth="1"/>
    <col min="14088" max="14098" width="10.42578125" style="7" customWidth="1"/>
    <col min="14099" max="14338" width="9.140625" style="7"/>
    <col min="14339" max="14339" width="1.5703125" style="7" customWidth="1"/>
    <col min="14340" max="14340" width="19.140625" style="7" customWidth="1"/>
    <col min="14341" max="14341" width="35.140625" style="7" customWidth="1"/>
    <col min="14342" max="14342" width="9.85546875" style="7" bestFit="1" customWidth="1"/>
    <col min="14343" max="14343" width="8.85546875" style="7" bestFit="1" customWidth="1"/>
    <col min="14344" max="14354" width="10.42578125" style="7" customWidth="1"/>
    <col min="14355" max="14594" width="9.140625" style="7"/>
    <col min="14595" max="14595" width="1.5703125" style="7" customWidth="1"/>
    <col min="14596" max="14596" width="19.140625" style="7" customWidth="1"/>
    <col min="14597" max="14597" width="35.140625" style="7" customWidth="1"/>
    <col min="14598" max="14598" width="9.85546875" style="7" bestFit="1" customWidth="1"/>
    <col min="14599" max="14599" width="8.85546875" style="7" bestFit="1" customWidth="1"/>
    <col min="14600" max="14610" width="10.42578125" style="7" customWidth="1"/>
    <col min="14611" max="14850" width="9.140625" style="7"/>
    <col min="14851" max="14851" width="1.5703125" style="7" customWidth="1"/>
    <col min="14852" max="14852" width="19.140625" style="7" customWidth="1"/>
    <col min="14853" max="14853" width="35.140625" style="7" customWidth="1"/>
    <col min="14854" max="14854" width="9.85546875" style="7" bestFit="1" customWidth="1"/>
    <col min="14855" max="14855" width="8.85546875" style="7" bestFit="1" customWidth="1"/>
    <col min="14856" max="14866" width="10.42578125" style="7" customWidth="1"/>
    <col min="14867" max="15106" width="9.140625" style="7"/>
    <col min="15107" max="15107" width="1.5703125" style="7" customWidth="1"/>
    <col min="15108" max="15108" width="19.140625" style="7" customWidth="1"/>
    <col min="15109" max="15109" width="35.140625" style="7" customWidth="1"/>
    <col min="15110" max="15110" width="9.85546875" style="7" bestFit="1" customWidth="1"/>
    <col min="15111" max="15111" width="8.85546875" style="7" bestFit="1" customWidth="1"/>
    <col min="15112" max="15122" width="10.42578125" style="7" customWidth="1"/>
    <col min="15123" max="15362" width="9.140625" style="7"/>
    <col min="15363" max="15363" width="1.5703125" style="7" customWidth="1"/>
    <col min="15364" max="15364" width="19.140625" style="7" customWidth="1"/>
    <col min="15365" max="15365" width="35.140625" style="7" customWidth="1"/>
    <col min="15366" max="15366" width="9.85546875" style="7" bestFit="1" customWidth="1"/>
    <col min="15367" max="15367" width="8.85546875" style="7" bestFit="1" customWidth="1"/>
    <col min="15368" max="15378" width="10.42578125" style="7" customWidth="1"/>
    <col min="15379" max="15618" width="9.140625" style="7"/>
    <col min="15619" max="15619" width="1.5703125" style="7" customWidth="1"/>
    <col min="15620" max="15620" width="19.140625" style="7" customWidth="1"/>
    <col min="15621" max="15621" width="35.140625" style="7" customWidth="1"/>
    <col min="15622" max="15622" width="9.85546875" style="7" bestFit="1" customWidth="1"/>
    <col min="15623" max="15623" width="8.85546875" style="7" bestFit="1" customWidth="1"/>
    <col min="15624" max="15634" width="10.42578125" style="7" customWidth="1"/>
    <col min="15635" max="15874" width="9.140625" style="7"/>
    <col min="15875" max="15875" width="1.5703125" style="7" customWidth="1"/>
    <col min="15876" max="15876" width="19.140625" style="7" customWidth="1"/>
    <col min="15877" max="15877" width="35.140625" style="7" customWidth="1"/>
    <col min="15878" max="15878" width="9.85546875" style="7" bestFit="1" customWidth="1"/>
    <col min="15879" max="15879" width="8.85546875" style="7" bestFit="1" customWidth="1"/>
    <col min="15880" max="15890" width="10.42578125" style="7" customWidth="1"/>
    <col min="15891" max="16130" width="9.140625" style="7"/>
    <col min="16131" max="16131" width="1.5703125" style="7" customWidth="1"/>
    <col min="16132" max="16132" width="19.140625" style="7" customWidth="1"/>
    <col min="16133" max="16133" width="35.140625" style="7" customWidth="1"/>
    <col min="16134" max="16134" width="9.85546875" style="7" bestFit="1" customWidth="1"/>
    <col min="16135" max="16135" width="8.85546875" style="7" bestFit="1" customWidth="1"/>
    <col min="16136" max="16146" width="10.42578125" style="7" customWidth="1"/>
    <col min="16147" max="16384" width="9.140625" style="7"/>
  </cols>
  <sheetData>
    <row r="1" spans="1:19" ht="27" customHeight="1" x14ac:dyDescent="0.25">
      <c r="A1" s="508"/>
      <c r="B1" s="508"/>
      <c r="C1" s="508"/>
      <c r="D1" s="1304" t="s">
        <v>103</v>
      </c>
      <c r="E1" s="1305"/>
      <c r="F1" s="1306"/>
      <c r="G1" s="1301" t="str">
        <f>'TCO TO BE- SW'!G1</f>
        <v xml:space="preserve">Interný agendový informačný systém KSED	</v>
      </c>
      <c r="H1" s="1301"/>
      <c r="I1" s="1302"/>
      <c r="J1" s="1301" t="str">
        <f>'TCO TO BE- SW'!H1</f>
        <v>Mobilný Agendový informačný systém KSED</v>
      </c>
      <c r="K1" s="1301"/>
      <c r="L1" s="1302"/>
      <c r="M1" s="1301" t="str">
        <f>'TCO TO BE- SW'!I1</f>
        <v>Verejný portál KSED</v>
      </c>
      <c r="N1" s="1301"/>
      <c r="O1" s="1302"/>
      <c r="P1" s="1303" t="str">
        <f>'TCO TO BE- SW'!J1</f>
        <v>Mobilná aplikácia Podnety</v>
      </c>
      <c r="Q1" s="1301"/>
      <c r="R1" s="1302"/>
    </row>
    <row r="2" spans="1:19" ht="192.6" customHeight="1" x14ac:dyDescent="0.25">
      <c r="A2" s="508" t="s">
        <v>295</v>
      </c>
      <c r="B2" s="508"/>
      <c r="C2" s="508"/>
      <c r="D2" s="509"/>
      <c r="E2" s="510"/>
      <c r="F2" s="511"/>
      <c r="G2" s="1307" t="s">
        <v>477</v>
      </c>
      <c r="H2" s="1287"/>
      <c r="I2" s="1288"/>
      <c r="J2" s="1286" t="s">
        <v>362</v>
      </c>
      <c r="K2" s="1287"/>
      <c r="L2" s="1288"/>
      <c r="M2" s="1286" t="s">
        <v>554</v>
      </c>
      <c r="N2" s="1287"/>
      <c r="O2" s="1288"/>
      <c r="P2" s="1286" t="s">
        <v>476</v>
      </c>
      <c r="Q2" s="1287"/>
      <c r="R2" s="1289"/>
    </row>
    <row r="3" spans="1:19" ht="30" x14ac:dyDescent="0.25">
      <c r="A3" s="508" t="s">
        <v>207</v>
      </c>
      <c r="B3" s="508"/>
      <c r="C3" s="508"/>
      <c r="D3" s="509"/>
      <c r="E3" s="510"/>
      <c r="F3" s="511"/>
      <c r="G3" s="1294"/>
      <c r="H3" s="1291"/>
      <c r="I3" s="1292"/>
      <c r="J3" s="1290"/>
      <c r="K3" s="1291"/>
      <c r="L3" s="1292"/>
      <c r="M3" s="1290"/>
      <c r="N3" s="1291"/>
      <c r="O3" s="1292"/>
      <c r="P3" s="1290"/>
      <c r="Q3" s="1291"/>
      <c r="R3" s="1293"/>
    </row>
    <row r="4" spans="1:19" x14ac:dyDescent="0.25">
      <c r="A4" s="508" t="s">
        <v>208</v>
      </c>
      <c r="B4" s="508"/>
      <c r="C4" s="508"/>
      <c r="D4" s="509"/>
      <c r="E4" s="510"/>
      <c r="F4" s="511"/>
      <c r="G4" s="1294"/>
      <c r="H4" s="1291"/>
      <c r="I4" s="1292"/>
      <c r="J4" s="1290"/>
      <c r="K4" s="1291"/>
      <c r="L4" s="1292"/>
      <c r="M4" s="1290"/>
      <c r="N4" s="1291"/>
      <c r="O4" s="1292"/>
      <c r="P4" s="1290"/>
      <c r="Q4" s="1291"/>
      <c r="R4" s="1293"/>
    </row>
    <row r="5" spans="1:19" s="62" customFormat="1" ht="15.75" customHeight="1" thickBot="1" x14ac:dyDescent="0.3">
      <c r="A5" s="280" t="s">
        <v>40</v>
      </c>
      <c r="B5" s="280" t="s">
        <v>10</v>
      </c>
      <c r="C5" s="280" t="s">
        <v>23</v>
      </c>
      <c r="D5" s="281" t="s">
        <v>210</v>
      </c>
      <c r="E5" s="282" t="s">
        <v>156</v>
      </c>
      <c r="F5" s="283" t="s">
        <v>150</v>
      </c>
      <c r="G5" s="284" t="s">
        <v>210</v>
      </c>
      <c r="H5" s="284" t="s">
        <v>156</v>
      </c>
      <c r="I5" s="285" t="s">
        <v>150</v>
      </c>
      <c r="J5" s="286" t="s">
        <v>210</v>
      </c>
      <c r="K5" s="284" t="s">
        <v>156</v>
      </c>
      <c r="L5" s="285" t="s">
        <v>150</v>
      </c>
      <c r="M5" s="286" t="s">
        <v>210</v>
      </c>
      <c r="N5" s="284" t="s">
        <v>156</v>
      </c>
      <c r="O5" s="285" t="s">
        <v>150</v>
      </c>
      <c r="P5" s="286" t="s">
        <v>210</v>
      </c>
      <c r="Q5" s="284" t="s">
        <v>156</v>
      </c>
      <c r="R5" s="287" t="s">
        <v>150</v>
      </c>
      <c r="S5" s="288"/>
    </row>
    <row r="6" spans="1:19" ht="14.45" customHeight="1" x14ac:dyDescent="0.25">
      <c r="A6" s="1295" t="s">
        <v>312</v>
      </c>
      <c r="B6" s="1298" t="s">
        <v>37</v>
      </c>
      <c r="C6" s="289" t="s">
        <v>25</v>
      </c>
      <c r="D6" s="290">
        <f t="shared" ref="D6:D15" si="0">G6+J6+M6+P6</f>
        <v>11200</v>
      </c>
      <c r="E6" s="291">
        <f t="shared" ref="E6:E15" si="1">H6+K6+N6+Q6</f>
        <v>11200</v>
      </c>
      <c r="F6" s="292">
        <f t="shared" ref="F6:F15" si="2">I6+L6+O6+R6</f>
        <v>0</v>
      </c>
      <c r="G6" s="843">
        <f>'Procesy - AS IS'!AG5</f>
        <v>2800</v>
      </c>
      <c r="H6" s="844">
        <f>G6</f>
        <v>2800</v>
      </c>
      <c r="I6" s="295">
        <f>H6-G6</f>
        <v>0</v>
      </c>
      <c r="J6" s="844">
        <f>G6</f>
        <v>2800</v>
      </c>
      <c r="K6" s="844">
        <f>H6</f>
        <v>2800</v>
      </c>
      <c r="L6" s="295">
        <f>K6-J6</f>
        <v>0</v>
      </c>
      <c r="M6" s="844">
        <f>G6</f>
        <v>2800</v>
      </c>
      <c r="N6" s="844">
        <f>H6</f>
        <v>2800</v>
      </c>
      <c r="O6" s="295">
        <f>N6-M6</f>
        <v>0</v>
      </c>
      <c r="P6" s="844">
        <f>G6</f>
        <v>2800</v>
      </c>
      <c r="Q6" s="844">
        <f>H6</f>
        <v>2800</v>
      </c>
      <c r="R6" s="296">
        <f>Q6-P6</f>
        <v>0</v>
      </c>
      <c r="S6" s="297">
        <v>0</v>
      </c>
    </row>
    <row r="7" spans="1:19" x14ac:dyDescent="0.25">
      <c r="A7" s="1296"/>
      <c r="B7" s="1299"/>
      <c r="C7" s="25" t="s">
        <v>26</v>
      </c>
      <c r="D7" s="298">
        <f t="shared" si="0"/>
        <v>11200</v>
      </c>
      <c r="E7" s="299">
        <f t="shared" si="1"/>
        <v>11200</v>
      </c>
      <c r="F7" s="300">
        <f t="shared" si="2"/>
        <v>0</v>
      </c>
      <c r="G7" s="845">
        <f>G6</f>
        <v>2800</v>
      </c>
      <c r="H7" s="846">
        <f>H6</f>
        <v>2800</v>
      </c>
      <c r="I7" s="303">
        <f t="shared" ref="I7:I35" si="3">H7-G7</f>
        <v>0</v>
      </c>
      <c r="J7" s="845">
        <f>J6</f>
        <v>2800</v>
      </c>
      <c r="K7" s="845">
        <f>K6</f>
        <v>2800</v>
      </c>
      <c r="L7" s="303">
        <f t="shared" ref="L7:L35" si="4">K7-J7</f>
        <v>0</v>
      </c>
      <c r="M7" s="845">
        <f>M6</f>
        <v>2800</v>
      </c>
      <c r="N7" s="845">
        <f>N6</f>
        <v>2800</v>
      </c>
      <c r="O7" s="303">
        <f t="shared" ref="O7:O35" si="5">N7-M7</f>
        <v>0</v>
      </c>
      <c r="P7" s="845">
        <f>P6</f>
        <v>2800</v>
      </c>
      <c r="Q7" s="845">
        <f>Q6</f>
        <v>2800</v>
      </c>
      <c r="R7" s="304">
        <f t="shared" ref="R7:R35" si="6">Q7-P7</f>
        <v>0</v>
      </c>
      <c r="S7" s="297"/>
    </row>
    <row r="8" spans="1:19" x14ac:dyDescent="0.25">
      <c r="A8" s="1296"/>
      <c r="B8" s="1299"/>
      <c r="C8" s="25" t="s">
        <v>27</v>
      </c>
      <c r="D8" s="298">
        <f t="shared" si="0"/>
        <v>11200</v>
      </c>
      <c r="E8" s="299">
        <f t="shared" si="1"/>
        <v>11200</v>
      </c>
      <c r="F8" s="300">
        <f t="shared" si="2"/>
        <v>0</v>
      </c>
      <c r="G8" s="845">
        <f t="shared" ref="G8:H15" si="7">G7</f>
        <v>2800</v>
      </c>
      <c r="H8" s="846">
        <f>H7</f>
        <v>2800</v>
      </c>
      <c r="I8" s="303">
        <f t="shared" si="3"/>
        <v>0</v>
      </c>
      <c r="J8" s="845">
        <f t="shared" ref="J8" si="8">J7</f>
        <v>2800</v>
      </c>
      <c r="K8" s="845">
        <f>H8</f>
        <v>2800</v>
      </c>
      <c r="L8" s="303">
        <f t="shared" si="4"/>
        <v>0</v>
      </c>
      <c r="M8" s="845">
        <f t="shared" ref="M8" si="9">M7</f>
        <v>2800</v>
      </c>
      <c r="N8" s="845">
        <f>H8</f>
        <v>2800</v>
      </c>
      <c r="O8" s="303">
        <f t="shared" si="5"/>
        <v>0</v>
      </c>
      <c r="P8" s="845">
        <f t="shared" ref="P8" si="10">P7</f>
        <v>2800</v>
      </c>
      <c r="Q8" s="845">
        <f>H8</f>
        <v>2800</v>
      </c>
      <c r="R8" s="304">
        <f t="shared" si="6"/>
        <v>0</v>
      </c>
      <c r="S8" s="297"/>
    </row>
    <row r="9" spans="1:19" x14ac:dyDescent="0.25">
      <c r="A9" s="1296"/>
      <c r="B9" s="1299"/>
      <c r="C9" s="25" t="s">
        <v>28</v>
      </c>
      <c r="D9" s="298">
        <f t="shared" si="0"/>
        <v>11200</v>
      </c>
      <c r="E9" s="299">
        <f t="shared" si="1"/>
        <v>14144.221182908792</v>
      </c>
      <c r="F9" s="300">
        <f t="shared" si="2"/>
        <v>2944.2211829087919</v>
      </c>
      <c r="G9" s="845">
        <f t="shared" si="7"/>
        <v>2800</v>
      </c>
      <c r="H9" s="846">
        <f>'Procesy - TO BE'!AF6</f>
        <v>3536.055295727198</v>
      </c>
      <c r="I9" s="303">
        <f t="shared" si="3"/>
        <v>736.05529572719797</v>
      </c>
      <c r="J9" s="845">
        <f t="shared" ref="J9" si="11">J8</f>
        <v>2800</v>
      </c>
      <c r="K9" s="845">
        <f>H9</f>
        <v>3536.055295727198</v>
      </c>
      <c r="L9" s="303">
        <f t="shared" si="4"/>
        <v>736.05529572719797</v>
      </c>
      <c r="M9" s="845">
        <f t="shared" ref="M9" si="12">M8</f>
        <v>2800</v>
      </c>
      <c r="N9" s="845">
        <f>H9</f>
        <v>3536.055295727198</v>
      </c>
      <c r="O9" s="303">
        <f t="shared" si="5"/>
        <v>736.05529572719797</v>
      </c>
      <c r="P9" s="845">
        <f t="shared" ref="P9" si="13">P8</f>
        <v>2800</v>
      </c>
      <c r="Q9" s="845">
        <f>H9</f>
        <v>3536.055295727198</v>
      </c>
      <c r="R9" s="304">
        <f t="shared" si="6"/>
        <v>736.05529572719797</v>
      </c>
      <c r="S9" s="297"/>
    </row>
    <row r="10" spans="1:19" x14ac:dyDescent="0.25">
      <c r="A10" s="1296"/>
      <c r="B10" s="1299"/>
      <c r="C10" s="25" t="s">
        <v>29</v>
      </c>
      <c r="D10" s="298">
        <f t="shared" si="0"/>
        <v>11200</v>
      </c>
      <c r="E10" s="299">
        <f t="shared" si="1"/>
        <v>14144.221182908792</v>
      </c>
      <c r="F10" s="300">
        <f t="shared" si="2"/>
        <v>2944.2211829087919</v>
      </c>
      <c r="G10" s="845">
        <f t="shared" si="7"/>
        <v>2800</v>
      </c>
      <c r="H10" s="846">
        <f t="shared" si="7"/>
        <v>3536.055295727198</v>
      </c>
      <c r="I10" s="303">
        <f t="shared" si="3"/>
        <v>736.05529572719797</v>
      </c>
      <c r="J10" s="845">
        <f t="shared" ref="J10:K10" si="14">J9</f>
        <v>2800</v>
      </c>
      <c r="K10" s="845">
        <f t="shared" si="14"/>
        <v>3536.055295727198</v>
      </c>
      <c r="L10" s="303">
        <f t="shared" si="4"/>
        <v>736.05529572719797</v>
      </c>
      <c r="M10" s="845">
        <f t="shared" ref="M10:N10" si="15">M9</f>
        <v>2800</v>
      </c>
      <c r="N10" s="845">
        <f t="shared" si="15"/>
        <v>3536.055295727198</v>
      </c>
      <c r="O10" s="303">
        <f t="shared" si="5"/>
        <v>736.05529572719797</v>
      </c>
      <c r="P10" s="845">
        <f t="shared" ref="P10:Q10" si="16">P9</f>
        <v>2800</v>
      </c>
      <c r="Q10" s="845">
        <f t="shared" si="16"/>
        <v>3536.055295727198</v>
      </c>
      <c r="R10" s="304">
        <f t="shared" si="6"/>
        <v>736.05529572719797</v>
      </c>
      <c r="S10" s="297"/>
    </row>
    <row r="11" spans="1:19" x14ac:dyDescent="0.25">
      <c r="A11" s="1296"/>
      <c r="B11" s="1299"/>
      <c r="C11" s="25" t="s">
        <v>30</v>
      </c>
      <c r="D11" s="298">
        <f t="shared" si="0"/>
        <v>11200</v>
      </c>
      <c r="E11" s="299">
        <f t="shared" si="1"/>
        <v>14144.221182908792</v>
      </c>
      <c r="F11" s="300">
        <f t="shared" si="2"/>
        <v>2944.2211829087919</v>
      </c>
      <c r="G11" s="845">
        <f t="shared" si="7"/>
        <v>2800</v>
      </c>
      <c r="H11" s="846">
        <f t="shared" si="7"/>
        <v>3536.055295727198</v>
      </c>
      <c r="I11" s="303">
        <f t="shared" si="3"/>
        <v>736.05529572719797</v>
      </c>
      <c r="J11" s="845">
        <f t="shared" ref="J11:K11" si="17">J10</f>
        <v>2800</v>
      </c>
      <c r="K11" s="845">
        <f t="shared" si="17"/>
        <v>3536.055295727198</v>
      </c>
      <c r="L11" s="303">
        <f t="shared" si="4"/>
        <v>736.05529572719797</v>
      </c>
      <c r="M11" s="845">
        <f t="shared" ref="M11:N11" si="18">M10</f>
        <v>2800</v>
      </c>
      <c r="N11" s="845">
        <f t="shared" si="18"/>
        <v>3536.055295727198</v>
      </c>
      <c r="O11" s="303">
        <f t="shared" si="5"/>
        <v>736.05529572719797</v>
      </c>
      <c r="P11" s="845">
        <f t="shared" ref="P11:Q11" si="19">P10</f>
        <v>2800</v>
      </c>
      <c r="Q11" s="845">
        <f t="shared" si="19"/>
        <v>3536.055295727198</v>
      </c>
      <c r="R11" s="304">
        <f t="shared" si="6"/>
        <v>736.05529572719797</v>
      </c>
      <c r="S11" s="297"/>
    </row>
    <row r="12" spans="1:19" x14ac:dyDescent="0.25">
      <c r="A12" s="1296"/>
      <c r="B12" s="1299"/>
      <c r="C12" s="25" t="s">
        <v>31</v>
      </c>
      <c r="D12" s="298">
        <f t="shared" si="0"/>
        <v>11200</v>
      </c>
      <c r="E12" s="299">
        <f t="shared" si="1"/>
        <v>14144.221182908792</v>
      </c>
      <c r="F12" s="300">
        <f t="shared" si="2"/>
        <v>2944.2211829087919</v>
      </c>
      <c r="G12" s="845">
        <f t="shared" si="7"/>
        <v>2800</v>
      </c>
      <c r="H12" s="846">
        <f t="shared" si="7"/>
        <v>3536.055295727198</v>
      </c>
      <c r="I12" s="303">
        <f t="shared" si="3"/>
        <v>736.05529572719797</v>
      </c>
      <c r="J12" s="845">
        <f t="shared" ref="J12:K12" si="20">J11</f>
        <v>2800</v>
      </c>
      <c r="K12" s="845">
        <f t="shared" si="20"/>
        <v>3536.055295727198</v>
      </c>
      <c r="L12" s="303">
        <f t="shared" si="4"/>
        <v>736.05529572719797</v>
      </c>
      <c r="M12" s="845">
        <f t="shared" ref="M12:N12" si="21">M11</f>
        <v>2800</v>
      </c>
      <c r="N12" s="845">
        <f t="shared" si="21"/>
        <v>3536.055295727198</v>
      </c>
      <c r="O12" s="303">
        <f t="shared" si="5"/>
        <v>736.05529572719797</v>
      </c>
      <c r="P12" s="845">
        <f t="shared" ref="P12:Q12" si="22">P11</f>
        <v>2800</v>
      </c>
      <c r="Q12" s="845">
        <f t="shared" si="22"/>
        <v>3536.055295727198</v>
      </c>
      <c r="R12" s="304">
        <f t="shared" si="6"/>
        <v>736.05529572719797</v>
      </c>
      <c r="S12" s="297"/>
    </row>
    <row r="13" spans="1:19" x14ac:dyDescent="0.25">
      <c r="A13" s="1296"/>
      <c r="B13" s="1299"/>
      <c r="C13" s="25" t="s">
        <v>32</v>
      </c>
      <c r="D13" s="298">
        <f t="shared" si="0"/>
        <v>11200</v>
      </c>
      <c r="E13" s="299">
        <f t="shared" si="1"/>
        <v>14144.221182908792</v>
      </c>
      <c r="F13" s="300">
        <f t="shared" si="2"/>
        <v>2944.2211829087919</v>
      </c>
      <c r="G13" s="845">
        <f t="shared" si="7"/>
        <v>2800</v>
      </c>
      <c r="H13" s="846">
        <f t="shared" si="7"/>
        <v>3536.055295727198</v>
      </c>
      <c r="I13" s="303">
        <f t="shared" si="3"/>
        <v>736.05529572719797</v>
      </c>
      <c r="J13" s="845">
        <f t="shared" ref="J13:K13" si="23">J12</f>
        <v>2800</v>
      </c>
      <c r="K13" s="845">
        <f t="shared" si="23"/>
        <v>3536.055295727198</v>
      </c>
      <c r="L13" s="303">
        <f t="shared" si="4"/>
        <v>736.05529572719797</v>
      </c>
      <c r="M13" s="845">
        <f t="shared" ref="M13:N13" si="24">M12</f>
        <v>2800</v>
      </c>
      <c r="N13" s="845">
        <f t="shared" si="24"/>
        <v>3536.055295727198</v>
      </c>
      <c r="O13" s="303">
        <f t="shared" si="5"/>
        <v>736.05529572719797</v>
      </c>
      <c r="P13" s="845">
        <f t="shared" ref="P13:Q13" si="25">P12</f>
        <v>2800</v>
      </c>
      <c r="Q13" s="845">
        <f t="shared" si="25"/>
        <v>3536.055295727198</v>
      </c>
      <c r="R13" s="304">
        <f t="shared" si="6"/>
        <v>736.05529572719797</v>
      </c>
      <c r="S13" s="297"/>
    </row>
    <row r="14" spans="1:19" x14ac:dyDescent="0.25">
      <c r="A14" s="1296"/>
      <c r="B14" s="1299"/>
      <c r="C14" s="25" t="s">
        <v>33</v>
      </c>
      <c r="D14" s="298">
        <f t="shared" si="0"/>
        <v>11200</v>
      </c>
      <c r="E14" s="299">
        <f t="shared" si="1"/>
        <v>14144.221182908792</v>
      </c>
      <c r="F14" s="300">
        <f t="shared" si="2"/>
        <v>2944.2211829087919</v>
      </c>
      <c r="G14" s="845">
        <f t="shared" si="7"/>
        <v>2800</v>
      </c>
      <c r="H14" s="846">
        <f t="shared" si="7"/>
        <v>3536.055295727198</v>
      </c>
      <c r="I14" s="303">
        <f t="shared" si="3"/>
        <v>736.05529572719797</v>
      </c>
      <c r="J14" s="845">
        <f t="shared" ref="J14:K14" si="26">J13</f>
        <v>2800</v>
      </c>
      <c r="K14" s="845">
        <f t="shared" si="26"/>
        <v>3536.055295727198</v>
      </c>
      <c r="L14" s="303">
        <f t="shared" si="4"/>
        <v>736.05529572719797</v>
      </c>
      <c r="M14" s="845">
        <f t="shared" ref="M14:N14" si="27">M13</f>
        <v>2800</v>
      </c>
      <c r="N14" s="845">
        <f t="shared" si="27"/>
        <v>3536.055295727198</v>
      </c>
      <c r="O14" s="303">
        <f t="shared" si="5"/>
        <v>736.05529572719797</v>
      </c>
      <c r="P14" s="845">
        <f t="shared" ref="P14:Q14" si="28">P13</f>
        <v>2800</v>
      </c>
      <c r="Q14" s="845">
        <f t="shared" si="28"/>
        <v>3536.055295727198</v>
      </c>
      <c r="R14" s="304">
        <f t="shared" si="6"/>
        <v>736.05529572719797</v>
      </c>
      <c r="S14" s="297"/>
    </row>
    <row r="15" spans="1:19" ht="15.75" thickBot="1" x14ac:dyDescent="0.3">
      <c r="A15" s="1297"/>
      <c r="B15" s="1300"/>
      <c r="C15" s="305" t="s">
        <v>34</v>
      </c>
      <c r="D15" s="306">
        <f t="shared" si="0"/>
        <v>11200</v>
      </c>
      <c r="E15" s="307">
        <f t="shared" si="1"/>
        <v>14144.221182908792</v>
      </c>
      <c r="F15" s="308">
        <f t="shared" si="2"/>
        <v>2944.2211829087919</v>
      </c>
      <c r="G15" s="847">
        <f t="shared" si="7"/>
        <v>2800</v>
      </c>
      <c r="H15" s="848">
        <f t="shared" si="7"/>
        <v>3536.055295727198</v>
      </c>
      <c r="I15" s="311">
        <f t="shared" si="3"/>
        <v>736.05529572719797</v>
      </c>
      <c r="J15" s="847">
        <f t="shared" ref="J15:K15" si="29">J14</f>
        <v>2800</v>
      </c>
      <c r="K15" s="847">
        <f t="shared" si="29"/>
        <v>3536.055295727198</v>
      </c>
      <c r="L15" s="311">
        <f t="shared" si="4"/>
        <v>736.05529572719797</v>
      </c>
      <c r="M15" s="847">
        <f t="shared" ref="M15:N15" si="30">M14</f>
        <v>2800</v>
      </c>
      <c r="N15" s="847">
        <f t="shared" si="30"/>
        <v>3536.055295727198</v>
      </c>
      <c r="O15" s="311">
        <f t="shared" si="5"/>
        <v>736.05529572719797</v>
      </c>
      <c r="P15" s="847">
        <f t="shared" ref="P15:Q15" si="31">P14</f>
        <v>2800</v>
      </c>
      <c r="Q15" s="847">
        <f t="shared" si="31"/>
        <v>3536.055295727198</v>
      </c>
      <c r="R15" s="312">
        <f t="shared" si="6"/>
        <v>736.05529572719797</v>
      </c>
      <c r="S15" s="297"/>
    </row>
    <row r="16" spans="1:19" ht="14.45" customHeight="1" x14ac:dyDescent="0.25">
      <c r="A16" s="1295" t="s">
        <v>620</v>
      </c>
      <c r="B16" s="1298" t="s">
        <v>37</v>
      </c>
      <c r="C16" s="289" t="s">
        <v>25</v>
      </c>
      <c r="D16" s="290">
        <f t="shared" ref="D16:D25" si="32">G16+J16+M16+P16</f>
        <v>3896</v>
      </c>
      <c r="E16" s="291">
        <f t="shared" ref="E16:E25" si="33">H16+K16+N16+Q16</f>
        <v>3896</v>
      </c>
      <c r="F16" s="292">
        <f t="shared" ref="F16:F25" si="34">I16+L16+O16+R16</f>
        <v>0</v>
      </c>
      <c r="G16" s="843">
        <f>'Procesy - AS IS'!AH5</f>
        <v>974</v>
      </c>
      <c r="H16" s="844">
        <f>G16</f>
        <v>974</v>
      </c>
      <c r="I16" s="295">
        <f>H16-G16</f>
        <v>0</v>
      </c>
      <c r="J16" s="844">
        <f>G16</f>
        <v>974</v>
      </c>
      <c r="K16" s="844">
        <f>H16</f>
        <v>974</v>
      </c>
      <c r="L16" s="295">
        <f>K16-J16</f>
        <v>0</v>
      </c>
      <c r="M16" s="844">
        <f>G16</f>
        <v>974</v>
      </c>
      <c r="N16" s="844">
        <f>H16</f>
        <v>974</v>
      </c>
      <c r="O16" s="295">
        <f>N16-M16</f>
        <v>0</v>
      </c>
      <c r="P16" s="844">
        <f>G16</f>
        <v>974</v>
      </c>
      <c r="Q16" s="844">
        <f>H16</f>
        <v>974</v>
      </c>
      <c r="R16" s="296">
        <f>Q16-P16</f>
        <v>0</v>
      </c>
      <c r="S16" s="297">
        <v>0</v>
      </c>
    </row>
    <row r="17" spans="1:19" x14ac:dyDescent="0.25">
      <c r="A17" s="1296"/>
      <c r="B17" s="1299"/>
      <c r="C17" s="25" t="s">
        <v>26</v>
      </c>
      <c r="D17" s="298">
        <f t="shared" si="32"/>
        <v>3896</v>
      </c>
      <c r="E17" s="299">
        <f t="shared" si="33"/>
        <v>3896</v>
      </c>
      <c r="F17" s="300">
        <f t="shared" si="34"/>
        <v>0</v>
      </c>
      <c r="G17" s="845">
        <f>G16</f>
        <v>974</v>
      </c>
      <c r="H17" s="846">
        <f>H16</f>
        <v>974</v>
      </c>
      <c r="I17" s="303">
        <f t="shared" ref="I17:I25" si="35">H17-G17</f>
        <v>0</v>
      </c>
      <c r="J17" s="845">
        <f>J16</f>
        <v>974</v>
      </c>
      <c r="K17" s="845">
        <f>K16</f>
        <v>974</v>
      </c>
      <c r="L17" s="303">
        <f t="shared" ref="L17:L25" si="36">K17-J17</f>
        <v>0</v>
      </c>
      <c r="M17" s="845">
        <f>M16</f>
        <v>974</v>
      </c>
      <c r="N17" s="845">
        <f>N16</f>
        <v>974</v>
      </c>
      <c r="O17" s="303">
        <f t="shared" ref="O17:O25" si="37">N17-M17</f>
        <v>0</v>
      </c>
      <c r="P17" s="845">
        <f>P16</f>
        <v>974</v>
      </c>
      <c r="Q17" s="845">
        <f>Q16</f>
        <v>974</v>
      </c>
      <c r="R17" s="304">
        <f t="shared" ref="R17:R25" si="38">Q17-P17</f>
        <v>0</v>
      </c>
      <c r="S17" s="297"/>
    </row>
    <row r="18" spans="1:19" x14ac:dyDescent="0.25">
      <c r="A18" s="1296"/>
      <c r="B18" s="1299"/>
      <c r="C18" s="25" t="s">
        <v>27</v>
      </c>
      <c r="D18" s="298">
        <f t="shared" si="32"/>
        <v>3896</v>
      </c>
      <c r="E18" s="299">
        <f t="shared" si="33"/>
        <v>3896</v>
      </c>
      <c r="F18" s="300">
        <f t="shared" si="34"/>
        <v>0</v>
      </c>
      <c r="G18" s="845">
        <f t="shared" ref="G18" si="39">G17</f>
        <v>974</v>
      </c>
      <c r="H18" s="846">
        <f>H17</f>
        <v>974</v>
      </c>
      <c r="I18" s="303">
        <f t="shared" si="35"/>
        <v>0</v>
      </c>
      <c r="J18" s="845">
        <f t="shared" ref="J18" si="40">J17</f>
        <v>974</v>
      </c>
      <c r="K18" s="845">
        <f>H18</f>
        <v>974</v>
      </c>
      <c r="L18" s="303">
        <f t="shared" si="36"/>
        <v>0</v>
      </c>
      <c r="M18" s="845">
        <f t="shared" ref="M18" si="41">M17</f>
        <v>974</v>
      </c>
      <c r="N18" s="845">
        <f>H18</f>
        <v>974</v>
      </c>
      <c r="O18" s="303">
        <f t="shared" si="37"/>
        <v>0</v>
      </c>
      <c r="P18" s="845">
        <f t="shared" ref="P18" si="42">P17</f>
        <v>974</v>
      </c>
      <c r="Q18" s="845">
        <f>H18</f>
        <v>974</v>
      </c>
      <c r="R18" s="304">
        <f t="shared" si="38"/>
        <v>0</v>
      </c>
      <c r="S18" s="297"/>
    </row>
    <row r="19" spans="1:19" x14ac:dyDescent="0.25">
      <c r="A19" s="1296"/>
      <c r="B19" s="1299"/>
      <c r="C19" s="25" t="s">
        <v>28</v>
      </c>
      <c r="D19" s="298">
        <f t="shared" si="32"/>
        <v>3896</v>
      </c>
      <c r="E19" s="299">
        <f t="shared" si="33"/>
        <v>5657.6884731635173</v>
      </c>
      <c r="F19" s="300">
        <f t="shared" si="34"/>
        <v>1761.6884731635173</v>
      </c>
      <c r="G19" s="845">
        <f t="shared" ref="G19" si="43">G18</f>
        <v>974</v>
      </c>
      <c r="H19" s="846">
        <f>'Procesy - TO BE'!AG6</f>
        <v>1414.4221182908793</v>
      </c>
      <c r="I19" s="303">
        <f t="shared" si="35"/>
        <v>440.42211829087933</v>
      </c>
      <c r="J19" s="845">
        <f t="shared" ref="J19" si="44">J18</f>
        <v>974</v>
      </c>
      <c r="K19" s="845">
        <f>H19</f>
        <v>1414.4221182908793</v>
      </c>
      <c r="L19" s="303">
        <f t="shared" si="36"/>
        <v>440.42211829087933</v>
      </c>
      <c r="M19" s="845">
        <f t="shared" ref="M19" si="45">M18</f>
        <v>974</v>
      </c>
      <c r="N19" s="845">
        <f>H19</f>
        <v>1414.4221182908793</v>
      </c>
      <c r="O19" s="303">
        <f t="shared" si="37"/>
        <v>440.42211829087933</v>
      </c>
      <c r="P19" s="845">
        <f t="shared" ref="P19" si="46">P18</f>
        <v>974</v>
      </c>
      <c r="Q19" s="845">
        <f>H19</f>
        <v>1414.4221182908793</v>
      </c>
      <c r="R19" s="304">
        <f t="shared" si="38"/>
        <v>440.42211829087933</v>
      </c>
      <c r="S19" s="297"/>
    </row>
    <row r="20" spans="1:19" x14ac:dyDescent="0.25">
      <c r="A20" s="1296"/>
      <c r="B20" s="1299"/>
      <c r="C20" s="25" t="s">
        <v>29</v>
      </c>
      <c r="D20" s="298">
        <f t="shared" si="32"/>
        <v>3896</v>
      </c>
      <c r="E20" s="299">
        <f t="shared" si="33"/>
        <v>5657.6884731635173</v>
      </c>
      <c r="F20" s="300">
        <f t="shared" si="34"/>
        <v>1761.6884731635173</v>
      </c>
      <c r="G20" s="845">
        <f t="shared" ref="G20:H20" si="47">G19</f>
        <v>974</v>
      </c>
      <c r="H20" s="846">
        <f t="shared" si="47"/>
        <v>1414.4221182908793</v>
      </c>
      <c r="I20" s="303">
        <f t="shared" si="35"/>
        <v>440.42211829087933</v>
      </c>
      <c r="J20" s="845">
        <f t="shared" ref="J20:K20" si="48">J19</f>
        <v>974</v>
      </c>
      <c r="K20" s="845">
        <f t="shared" si="48"/>
        <v>1414.4221182908793</v>
      </c>
      <c r="L20" s="303">
        <f t="shared" si="36"/>
        <v>440.42211829087933</v>
      </c>
      <c r="M20" s="845">
        <f t="shared" ref="M20:N20" si="49">M19</f>
        <v>974</v>
      </c>
      <c r="N20" s="845">
        <f t="shared" si="49"/>
        <v>1414.4221182908793</v>
      </c>
      <c r="O20" s="303">
        <f t="shared" si="37"/>
        <v>440.42211829087933</v>
      </c>
      <c r="P20" s="845">
        <f t="shared" ref="P20:Q20" si="50">P19</f>
        <v>974</v>
      </c>
      <c r="Q20" s="845">
        <f t="shared" si="50"/>
        <v>1414.4221182908793</v>
      </c>
      <c r="R20" s="304">
        <f t="shared" si="38"/>
        <v>440.42211829087933</v>
      </c>
      <c r="S20" s="297"/>
    </row>
    <row r="21" spans="1:19" x14ac:dyDescent="0.25">
      <c r="A21" s="1296"/>
      <c r="B21" s="1299"/>
      <c r="C21" s="25" t="s">
        <v>30</v>
      </c>
      <c r="D21" s="298">
        <f t="shared" si="32"/>
        <v>3896</v>
      </c>
      <c r="E21" s="299">
        <f t="shared" si="33"/>
        <v>5657.6884731635173</v>
      </c>
      <c r="F21" s="300">
        <f t="shared" si="34"/>
        <v>1761.6884731635173</v>
      </c>
      <c r="G21" s="845">
        <f t="shared" ref="G21:H21" si="51">G20</f>
        <v>974</v>
      </c>
      <c r="H21" s="846">
        <f t="shared" si="51"/>
        <v>1414.4221182908793</v>
      </c>
      <c r="I21" s="303">
        <f t="shared" si="35"/>
        <v>440.42211829087933</v>
      </c>
      <c r="J21" s="845">
        <f t="shared" ref="J21:K21" si="52">J20</f>
        <v>974</v>
      </c>
      <c r="K21" s="845">
        <f t="shared" si="52"/>
        <v>1414.4221182908793</v>
      </c>
      <c r="L21" s="303">
        <f t="shared" si="36"/>
        <v>440.42211829087933</v>
      </c>
      <c r="M21" s="845">
        <f t="shared" ref="M21:N21" si="53">M20</f>
        <v>974</v>
      </c>
      <c r="N21" s="845">
        <f t="shared" si="53"/>
        <v>1414.4221182908793</v>
      </c>
      <c r="O21" s="303">
        <f t="shared" si="37"/>
        <v>440.42211829087933</v>
      </c>
      <c r="P21" s="845">
        <f t="shared" ref="P21:Q21" si="54">P20</f>
        <v>974</v>
      </c>
      <c r="Q21" s="845">
        <f t="shared" si="54"/>
        <v>1414.4221182908793</v>
      </c>
      <c r="R21" s="304">
        <f t="shared" si="38"/>
        <v>440.42211829087933</v>
      </c>
      <c r="S21" s="297"/>
    </row>
    <row r="22" spans="1:19" x14ac:dyDescent="0.25">
      <c r="A22" s="1296"/>
      <c r="B22" s="1299"/>
      <c r="C22" s="25" t="s">
        <v>31</v>
      </c>
      <c r="D22" s="298">
        <f t="shared" si="32"/>
        <v>3896</v>
      </c>
      <c r="E22" s="299">
        <f t="shared" si="33"/>
        <v>5657.6884731635173</v>
      </c>
      <c r="F22" s="300">
        <f t="shared" si="34"/>
        <v>1761.6884731635173</v>
      </c>
      <c r="G22" s="845">
        <f t="shared" ref="G22:H22" si="55">G21</f>
        <v>974</v>
      </c>
      <c r="H22" s="846">
        <f t="shared" si="55"/>
        <v>1414.4221182908793</v>
      </c>
      <c r="I22" s="303">
        <f t="shared" si="35"/>
        <v>440.42211829087933</v>
      </c>
      <c r="J22" s="845">
        <f t="shared" ref="J22:K22" si="56">J21</f>
        <v>974</v>
      </c>
      <c r="K22" s="845">
        <f t="shared" si="56"/>
        <v>1414.4221182908793</v>
      </c>
      <c r="L22" s="303">
        <f t="shared" si="36"/>
        <v>440.42211829087933</v>
      </c>
      <c r="M22" s="845">
        <f t="shared" ref="M22:N22" si="57">M21</f>
        <v>974</v>
      </c>
      <c r="N22" s="845">
        <f t="shared" si="57"/>
        <v>1414.4221182908793</v>
      </c>
      <c r="O22" s="303">
        <f t="shared" si="37"/>
        <v>440.42211829087933</v>
      </c>
      <c r="P22" s="845">
        <f t="shared" ref="P22:Q22" si="58">P21</f>
        <v>974</v>
      </c>
      <c r="Q22" s="845">
        <f t="shared" si="58"/>
        <v>1414.4221182908793</v>
      </c>
      <c r="R22" s="304">
        <f t="shared" si="38"/>
        <v>440.42211829087933</v>
      </c>
      <c r="S22" s="297"/>
    </row>
    <row r="23" spans="1:19" x14ac:dyDescent="0.25">
      <c r="A23" s="1296"/>
      <c r="B23" s="1299"/>
      <c r="C23" s="25" t="s">
        <v>32</v>
      </c>
      <c r="D23" s="298">
        <f t="shared" si="32"/>
        <v>3896</v>
      </c>
      <c r="E23" s="299">
        <f t="shared" si="33"/>
        <v>5657.6884731635173</v>
      </c>
      <c r="F23" s="300">
        <f t="shared" si="34"/>
        <v>1761.6884731635173</v>
      </c>
      <c r="G23" s="845">
        <f t="shared" ref="G23:H23" si="59">G22</f>
        <v>974</v>
      </c>
      <c r="H23" s="846">
        <f t="shared" si="59"/>
        <v>1414.4221182908793</v>
      </c>
      <c r="I23" s="303">
        <f t="shared" si="35"/>
        <v>440.42211829087933</v>
      </c>
      <c r="J23" s="845">
        <f t="shared" ref="J23:K23" si="60">J22</f>
        <v>974</v>
      </c>
      <c r="K23" s="845">
        <f t="shared" si="60"/>
        <v>1414.4221182908793</v>
      </c>
      <c r="L23" s="303">
        <f t="shared" si="36"/>
        <v>440.42211829087933</v>
      </c>
      <c r="M23" s="845">
        <f t="shared" ref="M23:N23" si="61">M22</f>
        <v>974</v>
      </c>
      <c r="N23" s="845">
        <f t="shared" si="61"/>
        <v>1414.4221182908793</v>
      </c>
      <c r="O23" s="303">
        <f t="shared" si="37"/>
        <v>440.42211829087933</v>
      </c>
      <c r="P23" s="845">
        <f t="shared" ref="P23:Q23" si="62">P22</f>
        <v>974</v>
      </c>
      <c r="Q23" s="845">
        <f t="shared" si="62"/>
        <v>1414.4221182908793</v>
      </c>
      <c r="R23" s="304">
        <f t="shared" si="38"/>
        <v>440.42211829087933</v>
      </c>
      <c r="S23" s="297"/>
    </row>
    <row r="24" spans="1:19" x14ac:dyDescent="0.25">
      <c r="A24" s="1296"/>
      <c r="B24" s="1299"/>
      <c r="C24" s="25" t="s">
        <v>33</v>
      </c>
      <c r="D24" s="298">
        <f t="shared" si="32"/>
        <v>3896</v>
      </c>
      <c r="E24" s="299">
        <f t="shared" si="33"/>
        <v>5657.6884731635173</v>
      </c>
      <c r="F24" s="300">
        <f t="shared" si="34"/>
        <v>1761.6884731635173</v>
      </c>
      <c r="G24" s="845">
        <f t="shared" ref="G24:H24" si="63">G23</f>
        <v>974</v>
      </c>
      <c r="H24" s="846">
        <f t="shared" si="63"/>
        <v>1414.4221182908793</v>
      </c>
      <c r="I24" s="303">
        <f t="shared" si="35"/>
        <v>440.42211829087933</v>
      </c>
      <c r="J24" s="845">
        <f t="shared" ref="J24:K24" si="64">J23</f>
        <v>974</v>
      </c>
      <c r="K24" s="845">
        <f t="shared" si="64"/>
        <v>1414.4221182908793</v>
      </c>
      <c r="L24" s="303">
        <f t="shared" si="36"/>
        <v>440.42211829087933</v>
      </c>
      <c r="M24" s="845">
        <f t="shared" ref="M24:N24" si="65">M23</f>
        <v>974</v>
      </c>
      <c r="N24" s="845">
        <f t="shared" si="65"/>
        <v>1414.4221182908793</v>
      </c>
      <c r="O24" s="303">
        <f t="shared" si="37"/>
        <v>440.42211829087933</v>
      </c>
      <c r="P24" s="845">
        <f t="shared" ref="P24:Q24" si="66">P23</f>
        <v>974</v>
      </c>
      <c r="Q24" s="845">
        <f t="shared" si="66"/>
        <v>1414.4221182908793</v>
      </c>
      <c r="R24" s="304">
        <f t="shared" si="38"/>
        <v>440.42211829087933</v>
      </c>
      <c r="S24" s="297"/>
    </row>
    <row r="25" spans="1:19" ht="15.75" thickBot="1" x14ac:dyDescent="0.3">
      <c r="A25" s="1297"/>
      <c r="B25" s="1300"/>
      <c r="C25" s="305" t="s">
        <v>34</v>
      </c>
      <c r="D25" s="306">
        <f t="shared" si="32"/>
        <v>3896</v>
      </c>
      <c r="E25" s="307">
        <f t="shared" si="33"/>
        <v>5657.6884731635173</v>
      </c>
      <c r="F25" s="308">
        <f t="shared" si="34"/>
        <v>1761.6884731635173</v>
      </c>
      <c r="G25" s="847">
        <f t="shared" ref="G25:H25" si="67">G24</f>
        <v>974</v>
      </c>
      <c r="H25" s="848">
        <f t="shared" si="67"/>
        <v>1414.4221182908793</v>
      </c>
      <c r="I25" s="311">
        <f t="shared" si="35"/>
        <v>440.42211829087933</v>
      </c>
      <c r="J25" s="847">
        <f t="shared" ref="J25:K25" si="68">J24</f>
        <v>974</v>
      </c>
      <c r="K25" s="847">
        <f t="shared" si="68"/>
        <v>1414.4221182908793</v>
      </c>
      <c r="L25" s="311">
        <f t="shared" si="36"/>
        <v>440.42211829087933</v>
      </c>
      <c r="M25" s="847">
        <f t="shared" ref="M25:N25" si="69">M24</f>
        <v>974</v>
      </c>
      <c r="N25" s="847">
        <f t="shared" si="69"/>
        <v>1414.4221182908793</v>
      </c>
      <c r="O25" s="311">
        <f t="shared" si="37"/>
        <v>440.42211829087933</v>
      </c>
      <c r="P25" s="847">
        <f t="shared" ref="P25:Q25" si="70">P24</f>
        <v>974</v>
      </c>
      <c r="Q25" s="847">
        <f t="shared" si="70"/>
        <v>1414.4221182908793</v>
      </c>
      <c r="R25" s="312">
        <f t="shared" si="38"/>
        <v>440.42211829087933</v>
      </c>
      <c r="S25" s="297"/>
    </row>
    <row r="26" spans="1:19" x14ac:dyDescent="0.25">
      <c r="A26" s="1295" t="s">
        <v>310</v>
      </c>
      <c r="B26" s="1298" t="s">
        <v>13</v>
      </c>
      <c r="C26" s="289" t="s">
        <v>25</v>
      </c>
      <c r="D26" s="313"/>
      <c r="E26" s="314"/>
      <c r="F26" s="315"/>
      <c r="G26" s="293">
        <v>0</v>
      </c>
      <c r="H26" s="294">
        <v>0</v>
      </c>
      <c r="I26" s="317">
        <f t="shared" si="3"/>
        <v>0</v>
      </c>
      <c r="J26" s="316"/>
      <c r="K26" s="316"/>
      <c r="L26" s="317">
        <f t="shared" si="4"/>
        <v>0</v>
      </c>
      <c r="M26" s="316"/>
      <c r="N26" s="316"/>
      <c r="O26" s="317">
        <f t="shared" si="5"/>
        <v>0</v>
      </c>
      <c r="P26" s="316"/>
      <c r="Q26" s="318"/>
      <c r="R26" s="319">
        <f t="shared" si="6"/>
        <v>0</v>
      </c>
      <c r="S26" s="297"/>
    </row>
    <row r="27" spans="1:19" x14ac:dyDescent="0.25">
      <c r="A27" s="1296"/>
      <c r="B27" s="1299"/>
      <c r="C27" s="25" t="s">
        <v>26</v>
      </c>
      <c r="D27" s="320"/>
      <c r="E27" s="321"/>
      <c r="F27" s="322"/>
      <c r="G27" s="301">
        <v>0</v>
      </c>
      <c r="H27" s="302">
        <v>0</v>
      </c>
      <c r="I27" s="324">
        <f t="shared" si="3"/>
        <v>0</v>
      </c>
      <c r="J27" s="323"/>
      <c r="K27" s="323"/>
      <c r="L27" s="324">
        <f t="shared" si="4"/>
        <v>0</v>
      </c>
      <c r="M27" s="323"/>
      <c r="N27" s="323"/>
      <c r="O27" s="324">
        <f t="shared" si="5"/>
        <v>0</v>
      </c>
      <c r="P27" s="323"/>
      <c r="Q27" s="325"/>
      <c r="R27" s="326">
        <f t="shared" si="6"/>
        <v>0</v>
      </c>
      <c r="S27" s="297"/>
    </row>
    <row r="28" spans="1:19" x14ac:dyDescent="0.25">
      <c r="A28" s="1296"/>
      <c r="B28" s="1299"/>
      <c r="C28" s="25" t="s">
        <v>27</v>
      </c>
      <c r="D28" s="320"/>
      <c r="E28" s="321"/>
      <c r="F28" s="322"/>
      <c r="G28" s="301">
        <v>0</v>
      </c>
      <c r="H28" s="302">
        <v>0</v>
      </c>
      <c r="I28" s="324">
        <f t="shared" si="3"/>
        <v>0</v>
      </c>
      <c r="J28" s="323"/>
      <c r="K28" s="323"/>
      <c r="L28" s="324">
        <f t="shared" si="4"/>
        <v>0</v>
      </c>
      <c r="M28" s="323"/>
      <c r="N28" s="323"/>
      <c r="O28" s="324">
        <f t="shared" si="5"/>
        <v>0</v>
      </c>
      <c r="P28" s="323"/>
      <c r="Q28" s="325"/>
      <c r="R28" s="326">
        <f t="shared" si="6"/>
        <v>0</v>
      </c>
      <c r="S28" s="297"/>
    </row>
    <row r="29" spans="1:19" x14ac:dyDescent="0.25">
      <c r="A29" s="1296"/>
      <c r="B29" s="1299"/>
      <c r="C29" s="25" t="s">
        <v>28</v>
      </c>
      <c r="D29" s="320"/>
      <c r="E29" s="321"/>
      <c r="F29" s="322"/>
      <c r="G29" s="301">
        <v>0</v>
      </c>
      <c r="H29" s="302">
        <v>0</v>
      </c>
      <c r="I29" s="324">
        <f t="shared" si="3"/>
        <v>0</v>
      </c>
      <c r="J29" s="323"/>
      <c r="K29" s="323"/>
      <c r="L29" s="324">
        <f t="shared" si="4"/>
        <v>0</v>
      </c>
      <c r="M29" s="323"/>
      <c r="N29" s="323"/>
      <c r="O29" s="324">
        <f t="shared" si="5"/>
        <v>0</v>
      </c>
      <c r="P29" s="323"/>
      <c r="Q29" s="325"/>
      <c r="R29" s="326">
        <f t="shared" si="6"/>
        <v>0</v>
      </c>
      <c r="S29" s="297"/>
    </row>
    <row r="30" spans="1:19" x14ac:dyDescent="0.25">
      <c r="A30" s="1296"/>
      <c r="B30" s="1299"/>
      <c r="C30" s="25" t="s">
        <v>29</v>
      </c>
      <c r="D30" s="320"/>
      <c r="E30" s="321"/>
      <c r="F30" s="322"/>
      <c r="G30" s="301">
        <v>0</v>
      </c>
      <c r="H30" s="302">
        <v>0</v>
      </c>
      <c r="I30" s="324">
        <f t="shared" si="3"/>
        <v>0</v>
      </c>
      <c r="J30" s="323"/>
      <c r="K30" s="323"/>
      <c r="L30" s="324">
        <f t="shared" si="4"/>
        <v>0</v>
      </c>
      <c r="M30" s="323"/>
      <c r="N30" s="323"/>
      <c r="O30" s="324">
        <f t="shared" si="5"/>
        <v>0</v>
      </c>
      <c r="P30" s="323"/>
      <c r="Q30" s="325"/>
      <c r="R30" s="326">
        <f t="shared" si="6"/>
        <v>0</v>
      </c>
      <c r="S30" s="297"/>
    </row>
    <row r="31" spans="1:19" x14ac:dyDescent="0.25">
      <c r="A31" s="1296"/>
      <c r="B31" s="1299"/>
      <c r="C31" s="25" t="s">
        <v>30</v>
      </c>
      <c r="D31" s="320"/>
      <c r="E31" s="321"/>
      <c r="F31" s="322"/>
      <c r="G31" s="301">
        <v>0</v>
      </c>
      <c r="H31" s="302">
        <v>0</v>
      </c>
      <c r="I31" s="324">
        <f t="shared" si="3"/>
        <v>0</v>
      </c>
      <c r="J31" s="323"/>
      <c r="K31" s="323"/>
      <c r="L31" s="324">
        <f t="shared" si="4"/>
        <v>0</v>
      </c>
      <c r="M31" s="323"/>
      <c r="N31" s="323"/>
      <c r="O31" s="324">
        <f t="shared" si="5"/>
        <v>0</v>
      </c>
      <c r="P31" s="323"/>
      <c r="Q31" s="325"/>
      <c r="R31" s="326">
        <f t="shared" si="6"/>
        <v>0</v>
      </c>
      <c r="S31" s="297"/>
    </row>
    <row r="32" spans="1:19" x14ac:dyDescent="0.25">
      <c r="A32" s="1296"/>
      <c r="B32" s="1299"/>
      <c r="C32" s="25" t="s">
        <v>31</v>
      </c>
      <c r="D32" s="320"/>
      <c r="E32" s="321"/>
      <c r="F32" s="322"/>
      <c r="G32" s="301">
        <v>0</v>
      </c>
      <c r="H32" s="302">
        <v>0</v>
      </c>
      <c r="I32" s="324">
        <f t="shared" si="3"/>
        <v>0</v>
      </c>
      <c r="J32" s="323"/>
      <c r="K32" s="323"/>
      <c r="L32" s="324">
        <f t="shared" si="4"/>
        <v>0</v>
      </c>
      <c r="M32" s="323"/>
      <c r="N32" s="323"/>
      <c r="O32" s="324">
        <f t="shared" si="5"/>
        <v>0</v>
      </c>
      <c r="P32" s="323"/>
      <c r="Q32" s="325"/>
      <c r="R32" s="326">
        <f t="shared" si="6"/>
        <v>0</v>
      </c>
      <c r="S32" s="297"/>
    </row>
    <row r="33" spans="1:19" x14ac:dyDescent="0.25">
      <c r="A33" s="1296"/>
      <c r="B33" s="1299"/>
      <c r="C33" s="25" t="s">
        <v>32</v>
      </c>
      <c r="D33" s="320"/>
      <c r="E33" s="321"/>
      <c r="F33" s="322"/>
      <c r="G33" s="301">
        <v>0</v>
      </c>
      <c r="H33" s="302">
        <v>0</v>
      </c>
      <c r="I33" s="324">
        <f t="shared" si="3"/>
        <v>0</v>
      </c>
      <c r="J33" s="323"/>
      <c r="K33" s="323"/>
      <c r="L33" s="324">
        <f t="shared" si="4"/>
        <v>0</v>
      </c>
      <c r="M33" s="323"/>
      <c r="N33" s="323"/>
      <c r="O33" s="324">
        <f t="shared" si="5"/>
        <v>0</v>
      </c>
      <c r="P33" s="323"/>
      <c r="Q33" s="325"/>
      <c r="R33" s="326">
        <f t="shared" si="6"/>
        <v>0</v>
      </c>
      <c r="S33" s="297"/>
    </row>
    <row r="34" spans="1:19" x14ac:dyDescent="0.25">
      <c r="A34" s="1296"/>
      <c r="B34" s="1299"/>
      <c r="C34" s="25" t="s">
        <v>33</v>
      </c>
      <c r="D34" s="320"/>
      <c r="E34" s="321"/>
      <c r="F34" s="322"/>
      <c r="G34" s="301">
        <v>0</v>
      </c>
      <c r="H34" s="302">
        <v>0</v>
      </c>
      <c r="I34" s="324">
        <f t="shared" si="3"/>
        <v>0</v>
      </c>
      <c r="J34" s="323"/>
      <c r="K34" s="323"/>
      <c r="L34" s="324">
        <f t="shared" si="4"/>
        <v>0</v>
      </c>
      <c r="M34" s="323"/>
      <c r="N34" s="323"/>
      <c r="O34" s="324">
        <f t="shared" si="5"/>
        <v>0</v>
      </c>
      <c r="P34" s="323"/>
      <c r="Q34" s="325"/>
      <c r="R34" s="326">
        <f t="shared" si="6"/>
        <v>0</v>
      </c>
      <c r="S34" s="297"/>
    </row>
    <row r="35" spans="1:19" ht="15.75" thickBot="1" x14ac:dyDescent="0.3">
      <c r="A35" s="1297"/>
      <c r="B35" s="1300"/>
      <c r="C35" s="305" t="s">
        <v>34</v>
      </c>
      <c r="D35" s="327"/>
      <c r="E35" s="328"/>
      <c r="F35" s="329"/>
      <c r="G35" s="309">
        <v>0</v>
      </c>
      <c r="H35" s="310">
        <v>0</v>
      </c>
      <c r="I35" s="331">
        <f t="shared" si="3"/>
        <v>0</v>
      </c>
      <c r="J35" s="330"/>
      <c r="K35" s="330"/>
      <c r="L35" s="331">
        <f t="shared" si="4"/>
        <v>0</v>
      </c>
      <c r="M35" s="330"/>
      <c r="N35" s="330"/>
      <c r="O35" s="331">
        <f t="shared" si="5"/>
        <v>0</v>
      </c>
      <c r="P35" s="330"/>
      <c r="Q35" s="332"/>
      <c r="R35" s="333">
        <f t="shared" si="6"/>
        <v>0</v>
      </c>
      <c r="S35" s="297"/>
    </row>
    <row r="36" spans="1:19" s="335" customFormat="1" ht="14.25" customHeight="1" x14ac:dyDescent="0.25">
      <c r="A36" s="1295" t="s">
        <v>42</v>
      </c>
      <c r="B36" s="1298" t="s">
        <v>13</v>
      </c>
      <c r="C36" s="289" t="s">
        <v>25</v>
      </c>
      <c r="D36" s="313"/>
      <c r="E36" s="314"/>
      <c r="F36" s="315"/>
      <c r="G36" s="293">
        <v>0</v>
      </c>
      <c r="H36" s="294">
        <v>0</v>
      </c>
      <c r="I36" s="317">
        <f>H36-G36</f>
        <v>0</v>
      </c>
      <c r="J36" s="316"/>
      <c r="K36" s="316"/>
      <c r="L36" s="317">
        <f>K36-J36</f>
        <v>0</v>
      </c>
      <c r="M36" s="316"/>
      <c r="N36" s="316"/>
      <c r="O36" s="317">
        <f>N36-M36</f>
        <v>0</v>
      </c>
      <c r="P36" s="316"/>
      <c r="Q36" s="318"/>
      <c r="R36" s="319">
        <f>Q36-P36</f>
        <v>0</v>
      </c>
      <c r="S36" s="334"/>
    </row>
    <row r="37" spans="1:19" x14ac:dyDescent="0.25">
      <c r="A37" s="1296"/>
      <c r="B37" s="1299"/>
      <c r="C37" s="25" t="s">
        <v>26</v>
      </c>
      <c r="D37" s="320"/>
      <c r="E37" s="321"/>
      <c r="F37" s="322"/>
      <c r="G37" s="301">
        <v>0</v>
      </c>
      <c r="H37" s="302">
        <v>0</v>
      </c>
      <c r="I37" s="324">
        <f t="shared" ref="I37:I54" si="71">H37-G37</f>
        <v>0</v>
      </c>
      <c r="J37" s="323"/>
      <c r="K37" s="323"/>
      <c r="L37" s="324">
        <f t="shared" ref="L37:L54" si="72">K37-J37</f>
        <v>0</v>
      </c>
      <c r="M37" s="323"/>
      <c r="N37" s="323"/>
      <c r="O37" s="324">
        <f t="shared" ref="O37:O54" si="73">N37-M37</f>
        <v>0</v>
      </c>
      <c r="P37" s="323"/>
      <c r="Q37" s="325"/>
      <c r="R37" s="326">
        <f t="shared" ref="R37:R64" si="74">Q37-P37</f>
        <v>0</v>
      </c>
    </row>
    <row r="38" spans="1:19" x14ac:dyDescent="0.25">
      <c r="A38" s="1296"/>
      <c r="B38" s="1299"/>
      <c r="C38" s="25" t="s">
        <v>27</v>
      </c>
      <c r="D38" s="320"/>
      <c r="E38" s="321"/>
      <c r="F38" s="322"/>
      <c r="G38" s="301">
        <v>0</v>
      </c>
      <c r="H38" s="302">
        <v>0</v>
      </c>
      <c r="I38" s="324">
        <f t="shared" si="71"/>
        <v>0</v>
      </c>
      <c r="J38" s="323"/>
      <c r="K38" s="323"/>
      <c r="L38" s="324">
        <f t="shared" si="72"/>
        <v>0</v>
      </c>
      <c r="M38" s="323"/>
      <c r="N38" s="323"/>
      <c r="O38" s="324">
        <f t="shared" si="73"/>
        <v>0</v>
      </c>
      <c r="P38" s="323"/>
      <c r="Q38" s="325"/>
      <c r="R38" s="326">
        <f t="shared" si="74"/>
        <v>0</v>
      </c>
    </row>
    <row r="39" spans="1:19" x14ac:dyDescent="0.25">
      <c r="A39" s="1296"/>
      <c r="B39" s="1299"/>
      <c r="C39" s="25" t="s">
        <v>28</v>
      </c>
      <c r="D39" s="320"/>
      <c r="E39" s="321"/>
      <c r="F39" s="322"/>
      <c r="G39" s="301">
        <v>0</v>
      </c>
      <c r="H39" s="302">
        <v>0</v>
      </c>
      <c r="I39" s="324">
        <f t="shared" si="71"/>
        <v>0</v>
      </c>
      <c r="J39" s="323"/>
      <c r="K39" s="323"/>
      <c r="L39" s="324">
        <f t="shared" si="72"/>
        <v>0</v>
      </c>
      <c r="M39" s="323"/>
      <c r="N39" s="323"/>
      <c r="O39" s="324">
        <f t="shared" si="73"/>
        <v>0</v>
      </c>
      <c r="P39" s="323"/>
      <c r="Q39" s="325"/>
      <c r="R39" s="326">
        <f t="shared" si="74"/>
        <v>0</v>
      </c>
    </row>
    <row r="40" spans="1:19" x14ac:dyDescent="0.25">
      <c r="A40" s="1296"/>
      <c r="B40" s="1299"/>
      <c r="C40" s="25" t="s">
        <v>29</v>
      </c>
      <c r="D40" s="320"/>
      <c r="E40" s="321"/>
      <c r="F40" s="322"/>
      <c r="G40" s="301">
        <v>0</v>
      </c>
      <c r="H40" s="302">
        <v>0</v>
      </c>
      <c r="I40" s="324">
        <f t="shared" si="71"/>
        <v>0</v>
      </c>
      <c r="J40" s="323"/>
      <c r="K40" s="323"/>
      <c r="L40" s="324">
        <f t="shared" si="72"/>
        <v>0</v>
      </c>
      <c r="M40" s="323"/>
      <c r="N40" s="323"/>
      <c r="O40" s="324">
        <f t="shared" si="73"/>
        <v>0</v>
      </c>
      <c r="P40" s="323"/>
      <c r="Q40" s="325"/>
      <c r="R40" s="326">
        <f t="shared" si="74"/>
        <v>0</v>
      </c>
    </row>
    <row r="41" spans="1:19" x14ac:dyDescent="0.25">
      <c r="A41" s="1296"/>
      <c r="B41" s="1299"/>
      <c r="C41" s="25" t="s">
        <v>30</v>
      </c>
      <c r="D41" s="320"/>
      <c r="E41" s="321"/>
      <c r="F41" s="322"/>
      <c r="G41" s="301">
        <v>0</v>
      </c>
      <c r="H41" s="302">
        <v>0</v>
      </c>
      <c r="I41" s="324">
        <f t="shared" si="71"/>
        <v>0</v>
      </c>
      <c r="J41" s="323"/>
      <c r="K41" s="323"/>
      <c r="L41" s="324">
        <f t="shared" si="72"/>
        <v>0</v>
      </c>
      <c r="M41" s="323"/>
      <c r="N41" s="323"/>
      <c r="O41" s="324">
        <f t="shared" si="73"/>
        <v>0</v>
      </c>
      <c r="P41" s="323"/>
      <c r="Q41" s="325"/>
      <c r="R41" s="326">
        <f t="shared" si="74"/>
        <v>0</v>
      </c>
    </row>
    <row r="42" spans="1:19" x14ac:dyDescent="0.25">
      <c r="A42" s="1296"/>
      <c r="B42" s="1299"/>
      <c r="C42" s="25" t="s">
        <v>31</v>
      </c>
      <c r="D42" s="320"/>
      <c r="E42" s="321"/>
      <c r="F42" s="322"/>
      <c r="G42" s="301">
        <v>0</v>
      </c>
      <c r="H42" s="302">
        <v>0</v>
      </c>
      <c r="I42" s="324">
        <f t="shared" si="71"/>
        <v>0</v>
      </c>
      <c r="J42" s="323"/>
      <c r="K42" s="323"/>
      <c r="L42" s="324">
        <f t="shared" si="72"/>
        <v>0</v>
      </c>
      <c r="M42" s="323"/>
      <c r="N42" s="323"/>
      <c r="O42" s="324">
        <f t="shared" si="73"/>
        <v>0</v>
      </c>
      <c r="P42" s="323"/>
      <c r="Q42" s="325"/>
      <c r="R42" s="326">
        <f t="shared" si="74"/>
        <v>0</v>
      </c>
    </row>
    <row r="43" spans="1:19" x14ac:dyDescent="0.25">
      <c r="A43" s="1296"/>
      <c r="B43" s="1299"/>
      <c r="C43" s="25" t="s">
        <v>32</v>
      </c>
      <c r="D43" s="320"/>
      <c r="E43" s="321"/>
      <c r="F43" s="322"/>
      <c r="G43" s="301">
        <v>0</v>
      </c>
      <c r="H43" s="302">
        <v>0</v>
      </c>
      <c r="I43" s="324">
        <f t="shared" si="71"/>
        <v>0</v>
      </c>
      <c r="J43" s="323"/>
      <c r="K43" s="323"/>
      <c r="L43" s="324">
        <f t="shared" si="72"/>
        <v>0</v>
      </c>
      <c r="M43" s="323"/>
      <c r="N43" s="323"/>
      <c r="O43" s="324">
        <f t="shared" si="73"/>
        <v>0</v>
      </c>
      <c r="P43" s="323"/>
      <c r="Q43" s="325"/>
      <c r="R43" s="326">
        <f t="shared" si="74"/>
        <v>0</v>
      </c>
    </row>
    <row r="44" spans="1:19" x14ac:dyDescent="0.25">
      <c r="A44" s="1296"/>
      <c r="B44" s="1299"/>
      <c r="C44" s="25" t="s">
        <v>33</v>
      </c>
      <c r="D44" s="320"/>
      <c r="E44" s="321"/>
      <c r="F44" s="322"/>
      <c r="G44" s="301">
        <v>0</v>
      </c>
      <c r="H44" s="302">
        <v>0</v>
      </c>
      <c r="I44" s="324">
        <f t="shared" si="71"/>
        <v>0</v>
      </c>
      <c r="J44" s="323"/>
      <c r="K44" s="323"/>
      <c r="L44" s="324">
        <f t="shared" si="72"/>
        <v>0</v>
      </c>
      <c r="M44" s="323"/>
      <c r="N44" s="323"/>
      <c r="O44" s="324">
        <f t="shared" si="73"/>
        <v>0</v>
      </c>
      <c r="P44" s="323"/>
      <c r="Q44" s="325"/>
      <c r="R44" s="326">
        <f t="shared" si="74"/>
        <v>0</v>
      </c>
    </row>
    <row r="45" spans="1:19" ht="15.75" thickBot="1" x14ac:dyDescent="0.3">
      <c r="A45" s="1297"/>
      <c r="B45" s="1300"/>
      <c r="C45" s="305" t="s">
        <v>34</v>
      </c>
      <c r="D45" s="327"/>
      <c r="E45" s="328"/>
      <c r="F45" s="329"/>
      <c r="G45" s="309">
        <v>0</v>
      </c>
      <c r="H45" s="310">
        <v>0</v>
      </c>
      <c r="I45" s="331">
        <f t="shared" si="71"/>
        <v>0</v>
      </c>
      <c r="J45" s="330"/>
      <c r="K45" s="330"/>
      <c r="L45" s="331">
        <f t="shared" si="72"/>
        <v>0</v>
      </c>
      <c r="M45" s="330"/>
      <c r="N45" s="330"/>
      <c r="O45" s="331">
        <f t="shared" si="73"/>
        <v>0</v>
      </c>
      <c r="P45" s="330"/>
      <c r="Q45" s="332"/>
      <c r="R45" s="333">
        <f t="shared" si="74"/>
        <v>0</v>
      </c>
    </row>
    <row r="46" spans="1:19" s="335" customFormat="1" ht="14.45" customHeight="1" x14ac:dyDescent="0.25">
      <c r="A46" s="1295" t="s">
        <v>181</v>
      </c>
      <c r="B46" s="1298" t="s">
        <v>176</v>
      </c>
      <c r="C46" s="289" t="s">
        <v>25</v>
      </c>
      <c r="D46" s="313"/>
      <c r="E46" s="314"/>
      <c r="F46" s="315"/>
      <c r="G46" s="854">
        <f>'Procesy - AS IS'!AD5*('TCO TO BE- SW'!$G$177+'TCO TO BE - HW'!$F$86)/('TCO TO BE- SW'!$E$177+'TCO TO BE - HW'!$E$86)</f>
        <v>55.19875874434836</v>
      </c>
      <c r="H46" s="855">
        <f>'Procesy - AS IS'!AD5*('TCO TO BE- SW'!$G$177+'TCO TO BE - HW'!$F$86)/('TCO TO BE- SW'!$E$177+'TCO TO BE - HW'!$E$86)</f>
        <v>55.19875874434836</v>
      </c>
      <c r="I46" s="317">
        <f t="shared" si="71"/>
        <v>0</v>
      </c>
      <c r="J46" s="855">
        <f>'Procesy - AS IS'!AD5*('TCO TO BE- SW'!$H$177+'TCO TO BE - HW'!$G$86)/('TCO TO BE- SW'!$E$177+'TCO TO BE - HW'!$E$86)+Faktory!C46</f>
        <v>19.316064956114833</v>
      </c>
      <c r="K46" s="855">
        <f>'Procesy - AS IS'!AD5*('TCO TO BE- SW'!$H$177+'TCO TO BE - HW'!$G$86)/('TCO TO BE- SW'!$E$177+'TCO TO BE - HW'!$E$86)+Faktory!C46</f>
        <v>19.316064956114833</v>
      </c>
      <c r="L46" s="317">
        <f t="shared" si="72"/>
        <v>0</v>
      </c>
      <c r="M46" s="851">
        <f>'Procesy - AS IS'!AD5*('TCO TO BE- SW'!$I$177+'TCO TO BE - HW'!$H$86)/('TCO TO BE- SW'!$E$177+'TCO TO BE - HW'!$E$86)</f>
        <v>0.91306632664803211</v>
      </c>
      <c r="N46" s="851">
        <f>'Procesy - AS IS'!AD5*('TCO TO BE- SW'!$I$177+'TCO TO BE - HW'!$H$86)/('TCO TO BE- SW'!$E$177+'TCO TO BE - HW'!$E$86)</f>
        <v>0.91306632664803211</v>
      </c>
      <c r="O46" s="317">
        <f t="shared" si="73"/>
        <v>0</v>
      </c>
      <c r="P46" s="851">
        <f>'Procesy - AS IS'!AD5*('TCO TO BE- SW'!$J$177+'TCO TO BE - HW'!$I$86)/('TCO TO BE- SW'!$E$177+'TCO TO BE - HW'!$E$86)</f>
        <v>0.10299833562797923</v>
      </c>
      <c r="Q46" s="851">
        <f>'Procesy - AS IS'!AD5*('TCO TO BE- SW'!$J$177+'TCO TO BE - HW'!$I$86)/('TCO TO BE- SW'!$E$177+'TCO TO BE - HW'!$E$86)</f>
        <v>0.10299833562797923</v>
      </c>
      <c r="R46" s="319">
        <f t="shared" si="74"/>
        <v>0</v>
      </c>
      <c r="S46" s="334">
        <f>'Analyza citlivosti - AgendovéIS'!N7</f>
        <v>0</v>
      </c>
    </row>
    <row r="47" spans="1:19" x14ac:dyDescent="0.25">
      <c r="A47" s="1296"/>
      <c r="B47" s="1299"/>
      <c r="C47" s="25" t="s">
        <v>26</v>
      </c>
      <c r="D47" s="320"/>
      <c r="E47" s="321"/>
      <c r="F47" s="322"/>
      <c r="G47" s="856">
        <f>G46</f>
        <v>55.19875874434836</v>
      </c>
      <c r="H47" s="857">
        <f>H46</f>
        <v>55.19875874434836</v>
      </c>
      <c r="I47" s="324">
        <f t="shared" si="71"/>
        <v>0</v>
      </c>
      <c r="J47" s="852">
        <f>J46</f>
        <v>19.316064956114833</v>
      </c>
      <c r="K47" s="852">
        <f>K46</f>
        <v>19.316064956114833</v>
      </c>
      <c r="L47" s="324">
        <f t="shared" si="72"/>
        <v>0</v>
      </c>
      <c r="M47" s="852">
        <f>M46</f>
        <v>0.91306632664803211</v>
      </c>
      <c r="N47" s="852">
        <f>N46</f>
        <v>0.91306632664803211</v>
      </c>
      <c r="O47" s="324">
        <f t="shared" si="73"/>
        <v>0</v>
      </c>
      <c r="P47" s="852">
        <f>P46</f>
        <v>0.10299833562797923</v>
      </c>
      <c r="Q47" s="852">
        <f>Q46</f>
        <v>0.10299833562797923</v>
      </c>
      <c r="R47" s="326">
        <f t="shared" si="74"/>
        <v>0</v>
      </c>
    </row>
    <row r="48" spans="1:19" x14ac:dyDescent="0.25">
      <c r="A48" s="1296"/>
      <c r="B48" s="1299"/>
      <c r="C48" s="25" t="s">
        <v>27</v>
      </c>
      <c r="D48" s="320"/>
      <c r="E48" s="321"/>
      <c r="F48" s="322"/>
      <c r="G48" s="856">
        <f t="shared" ref="G48:G55" si="75">G47</f>
        <v>55.19875874434836</v>
      </c>
      <c r="H48" s="857">
        <f>H47</f>
        <v>55.19875874434836</v>
      </c>
      <c r="I48" s="324">
        <f t="shared" si="71"/>
        <v>0</v>
      </c>
      <c r="J48" s="852">
        <f t="shared" ref="J48:K55" si="76">J47</f>
        <v>19.316064956114833</v>
      </c>
      <c r="K48" s="852">
        <f>K47</f>
        <v>19.316064956114833</v>
      </c>
      <c r="L48" s="324">
        <f t="shared" si="72"/>
        <v>0</v>
      </c>
      <c r="M48" s="852">
        <f t="shared" ref="M48:N55" si="77">M47</f>
        <v>0.91306632664803211</v>
      </c>
      <c r="N48" s="852">
        <f>N47</f>
        <v>0.91306632664803211</v>
      </c>
      <c r="O48" s="324">
        <f t="shared" si="73"/>
        <v>0</v>
      </c>
      <c r="P48" s="852">
        <f t="shared" ref="P48:Q55" si="78">P47</f>
        <v>0.10299833562797923</v>
      </c>
      <c r="Q48" s="852">
        <f>Q47</f>
        <v>0.10299833562797923</v>
      </c>
      <c r="R48" s="326">
        <f t="shared" si="74"/>
        <v>0</v>
      </c>
    </row>
    <row r="49" spans="1:19" x14ac:dyDescent="0.25">
      <c r="A49" s="1296"/>
      <c r="B49" s="1299"/>
      <c r="C49" s="25" t="s">
        <v>28</v>
      </c>
      <c r="D49" s="320"/>
      <c r="E49" s="321"/>
      <c r="F49" s="322"/>
      <c r="G49" s="856">
        <f t="shared" si="75"/>
        <v>55.19875874434836</v>
      </c>
      <c r="H49" s="857">
        <f>'Procesy - TO BE'!AE6*('TCO TO BE- SW'!$G$177+'TCO TO BE - HW'!$F$86)/('TCO TO BE- SW'!$E$177+'TCO TO BE - HW'!$E$86)</f>
        <v>43.708740830759695</v>
      </c>
      <c r="I49" s="324">
        <f t="shared" si="71"/>
        <v>-11.490017913588666</v>
      </c>
      <c r="J49" s="852">
        <f t="shared" si="76"/>
        <v>19.316064956114833</v>
      </c>
      <c r="K49" s="852">
        <f>'Procesy - TO BE'!AE6*('TCO TO BE- SW'!$H$177+'TCO TO BE - HW'!$G$86)/('TCO TO BE- SW'!$E$177+'TCO TO BE - HW'!$E$86)</f>
        <v>11.597957596047015</v>
      </c>
      <c r="L49" s="324">
        <f t="shared" si="72"/>
        <v>-7.7181073600678172</v>
      </c>
      <c r="M49" s="852">
        <f t="shared" si="77"/>
        <v>0.91306632664803211</v>
      </c>
      <c r="N49" s="852">
        <f>'Procesy - TO BE'!AE6*('TCO TO BE- SW'!$I$177+'TCO TO BE - HW'!$H$86)/('TCO TO BE- SW'!$E$177+'TCO TO BE - HW'!$E$86)</f>
        <v>0.72300501570316156</v>
      </c>
      <c r="O49" s="324">
        <f t="shared" si="73"/>
        <v>-0.19006131094487055</v>
      </c>
      <c r="P49" s="852">
        <f t="shared" si="78"/>
        <v>0.10299833562797923</v>
      </c>
      <c r="Q49" s="852">
        <f>'Procesy - TO BE'!AE6*('TCO TO BE- SW'!$J$177+'TCO TO BE - HW'!$I$86)/('TCO TO BE- SW'!$E$177+'TCO TO BE - HW'!$E$86)</f>
        <v>8.1558492625051757E-2</v>
      </c>
      <c r="R49" s="326">
        <f t="shared" si="74"/>
        <v>-2.1439843002927478E-2</v>
      </c>
    </row>
    <row r="50" spans="1:19" x14ac:dyDescent="0.25">
      <c r="A50" s="1296"/>
      <c r="B50" s="1299"/>
      <c r="C50" s="25" t="s">
        <v>29</v>
      </c>
      <c r="D50" s="320"/>
      <c r="E50" s="321"/>
      <c r="F50" s="322"/>
      <c r="G50" s="856">
        <f t="shared" si="75"/>
        <v>55.19875874434836</v>
      </c>
      <c r="H50" s="857">
        <f t="shared" ref="H50:H55" si="79">H49</f>
        <v>43.708740830759695</v>
      </c>
      <c r="I50" s="324">
        <f t="shared" si="71"/>
        <v>-11.490017913588666</v>
      </c>
      <c r="J50" s="852">
        <f t="shared" si="76"/>
        <v>19.316064956114833</v>
      </c>
      <c r="K50" s="852">
        <f t="shared" si="76"/>
        <v>11.597957596047015</v>
      </c>
      <c r="L50" s="324">
        <f t="shared" si="72"/>
        <v>-7.7181073600678172</v>
      </c>
      <c r="M50" s="852">
        <f t="shared" si="77"/>
        <v>0.91306632664803211</v>
      </c>
      <c r="N50" s="852">
        <f t="shared" si="77"/>
        <v>0.72300501570316156</v>
      </c>
      <c r="O50" s="324">
        <f t="shared" si="73"/>
        <v>-0.19006131094487055</v>
      </c>
      <c r="P50" s="852">
        <f t="shared" si="78"/>
        <v>0.10299833562797923</v>
      </c>
      <c r="Q50" s="852">
        <f t="shared" si="78"/>
        <v>8.1558492625051757E-2</v>
      </c>
      <c r="R50" s="326">
        <f t="shared" si="74"/>
        <v>-2.1439843002927478E-2</v>
      </c>
    </row>
    <row r="51" spans="1:19" x14ac:dyDescent="0.25">
      <c r="A51" s="1296"/>
      <c r="B51" s="1299"/>
      <c r="C51" s="25" t="s">
        <v>30</v>
      </c>
      <c r="D51" s="320"/>
      <c r="E51" s="321"/>
      <c r="F51" s="322"/>
      <c r="G51" s="856">
        <f t="shared" si="75"/>
        <v>55.19875874434836</v>
      </c>
      <c r="H51" s="857">
        <f t="shared" si="79"/>
        <v>43.708740830759695</v>
      </c>
      <c r="I51" s="324">
        <f t="shared" si="71"/>
        <v>-11.490017913588666</v>
      </c>
      <c r="J51" s="852">
        <f t="shared" si="76"/>
        <v>19.316064956114833</v>
      </c>
      <c r="K51" s="852">
        <f t="shared" si="76"/>
        <v>11.597957596047015</v>
      </c>
      <c r="L51" s="324">
        <f t="shared" si="72"/>
        <v>-7.7181073600678172</v>
      </c>
      <c r="M51" s="852">
        <f t="shared" si="77"/>
        <v>0.91306632664803211</v>
      </c>
      <c r="N51" s="852">
        <f t="shared" si="77"/>
        <v>0.72300501570316156</v>
      </c>
      <c r="O51" s="324">
        <f t="shared" si="73"/>
        <v>-0.19006131094487055</v>
      </c>
      <c r="P51" s="852">
        <f t="shared" si="78"/>
        <v>0.10299833562797923</v>
      </c>
      <c r="Q51" s="852">
        <f t="shared" si="78"/>
        <v>8.1558492625051757E-2</v>
      </c>
      <c r="R51" s="326">
        <f t="shared" si="74"/>
        <v>-2.1439843002927478E-2</v>
      </c>
    </row>
    <row r="52" spans="1:19" x14ac:dyDescent="0.25">
      <c r="A52" s="1296"/>
      <c r="B52" s="1299"/>
      <c r="C52" s="25" t="s">
        <v>31</v>
      </c>
      <c r="D52" s="320"/>
      <c r="E52" s="321"/>
      <c r="F52" s="322"/>
      <c r="G52" s="856">
        <f t="shared" si="75"/>
        <v>55.19875874434836</v>
      </c>
      <c r="H52" s="857">
        <f t="shared" si="79"/>
        <v>43.708740830759695</v>
      </c>
      <c r="I52" s="324">
        <f t="shared" si="71"/>
        <v>-11.490017913588666</v>
      </c>
      <c r="J52" s="852">
        <f t="shared" si="76"/>
        <v>19.316064956114833</v>
      </c>
      <c r="K52" s="852">
        <f t="shared" si="76"/>
        <v>11.597957596047015</v>
      </c>
      <c r="L52" s="324">
        <f t="shared" si="72"/>
        <v>-7.7181073600678172</v>
      </c>
      <c r="M52" s="852">
        <f t="shared" si="77"/>
        <v>0.91306632664803211</v>
      </c>
      <c r="N52" s="852">
        <f t="shared" si="77"/>
        <v>0.72300501570316156</v>
      </c>
      <c r="O52" s="324">
        <f t="shared" si="73"/>
        <v>-0.19006131094487055</v>
      </c>
      <c r="P52" s="852">
        <f t="shared" si="78"/>
        <v>0.10299833562797923</v>
      </c>
      <c r="Q52" s="852">
        <f t="shared" si="78"/>
        <v>8.1558492625051757E-2</v>
      </c>
      <c r="R52" s="326">
        <f t="shared" si="74"/>
        <v>-2.1439843002927478E-2</v>
      </c>
    </row>
    <row r="53" spans="1:19" x14ac:dyDescent="0.25">
      <c r="A53" s="1296"/>
      <c r="B53" s="1299"/>
      <c r="C53" s="25" t="s">
        <v>32</v>
      </c>
      <c r="D53" s="320"/>
      <c r="E53" s="321"/>
      <c r="F53" s="322"/>
      <c r="G53" s="856">
        <f t="shared" si="75"/>
        <v>55.19875874434836</v>
      </c>
      <c r="H53" s="857">
        <f t="shared" si="79"/>
        <v>43.708740830759695</v>
      </c>
      <c r="I53" s="324">
        <f t="shared" si="71"/>
        <v>-11.490017913588666</v>
      </c>
      <c r="J53" s="852">
        <f t="shared" si="76"/>
        <v>19.316064956114833</v>
      </c>
      <c r="K53" s="852">
        <f t="shared" si="76"/>
        <v>11.597957596047015</v>
      </c>
      <c r="L53" s="324">
        <f t="shared" si="72"/>
        <v>-7.7181073600678172</v>
      </c>
      <c r="M53" s="852">
        <f t="shared" si="77"/>
        <v>0.91306632664803211</v>
      </c>
      <c r="N53" s="852">
        <f t="shared" si="77"/>
        <v>0.72300501570316156</v>
      </c>
      <c r="O53" s="324">
        <f t="shared" si="73"/>
        <v>-0.19006131094487055</v>
      </c>
      <c r="P53" s="852">
        <f t="shared" si="78"/>
        <v>0.10299833562797923</v>
      </c>
      <c r="Q53" s="852">
        <f t="shared" si="78"/>
        <v>8.1558492625051757E-2</v>
      </c>
      <c r="R53" s="326">
        <f t="shared" si="74"/>
        <v>-2.1439843002927478E-2</v>
      </c>
    </row>
    <row r="54" spans="1:19" x14ac:dyDescent="0.25">
      <c r="A54" s="1296"/>
      <c r="B54" s="1299"/>
      <c r="C54" s="25" t="s">
        <v>33</v>
      </c>
      <c r="D54" s="320"/>
      <c r="E54" s="321"/>
      <c r="F54" s="322"/>
      <c r="G54" s="856">
        <f t="shared" si="75"/>
        <v>55.19875874434836</v>
      </c>
      <c r="H54" s="857">
        <f t="shared" si="79"/>
        <v>43.708740830759695</v>
      </c>
      <c r="I54" s="324">
        <f t="shared" si="71"/>
        <v>-11.490017913588666</v>
      </c>
      <c r="J54" s="852">
        <f t="shared" si="76"/>
        <v>19.316064956114833</v>
      </c>
      <c r="K54" s="852">
        <f t="shared" si="76"/>
        <v>11.597957596047015</v>
      </c>
      <c r="L54" s="324">
        <f t="shared" si="72"/>
        <v>-7.7181073600678172</v>
      </c>
      <c r="M54" s="852">
        <f t="shared" si="77"/>
        <v>0.91306632664803211</v>
      </c>
      <c r="N54" s="852">
        <f t="shared" si="77"/>
        <v>0.72300501570316156</v>
      </c>
      <c r="O54" s="324">
        <f t="shared" si="73"/>
        <v>-0.19006131094487055</v>
      </c>
      <c r="P54" s="852">
        <f t="shared" si="78"/>
        <v>0.10299833562797923</v>
      </c>
      <c r="Q54" s="852">
        <f t="shared" si="78"/>
        <v>8.1558492625051757E-2</v>
      </c>
      <c r="R54" s="326">
        <f t="shared" si="74"/>
        <v>-2.1439843002927478E-2</v>
      </c>
    </row>
    <row r="55" spans="1:19" ht="15.75" thickBot="1" x14ac:dyDescent="0.3">
      <c r="A55" s="1297"/>
      <c r="B55" s="1300"/>
      <c r="C55" s="305" t="s">
        <v>34</v>
      </c>
      <c r="D55" s="327"/>
      <c r="E55" s="328"/>
      <c r="F55" s="329"/>
      <c r="G55" s="858">
        <f t="shared" si="75"/>
        <v>55.19875874434836</v>
      </c>
      <c r="H55" s="859">
        <f t="shared" si="79"/>
        <v>43.708740830759695</v>
      </c>
      <c r="I55" s="331">
        <f>H55-G55</f>
        <v>-11.490017913588666</v>
      </c>
      <c r="J55" s="853">
        <f t="shared" si="76"/>
        <v>19.316064956114833</v>
      </c>
      <c r="K55" s="853">
        <f t="shared" si="76"/>
        <v>11.597957596047015</v>
      </c>
      <c r="L55" s="331">
        <f>K55-J55</f>
        <v>-7.7181073600678172</v>
      </c>
      <c r="M55" s="853">
        <f t="shared" si="77"/>
        <v>0.91306632664803211</v>
      </c>
      <c r="N55" s="853">
        <f t="shared" si="77"/>
        <v>0.72300501570316156</v>
      </c>
      <c r="O55" s="331">
        <f>N55-M55</f>
        <v>-0.19006131094487055</v>
      </c>
      <c r="P55" s="853">
        <f t="shared" si="78"/>
        <v>0.10299833562797923</v>
      </c>
      <c r="Q55" s="853">
        <f t="shared" si="78"/>
        <v>8.1558492625051757E-2</v>
      </c>
      <c r="R55" s="333">
        <f>Q55-P55</f>
        <v>-2.1439843002927478E-2</v>
      </c>
    </row>
    <row r="56" spans="1:19" s="335" customFormat="1" ht="14.45" customHeight="1" x14ac:dyDescent="0.25">
      <c r="A56" s="1295" t="s">
        <v>180</v>
      </c>
      <c r="B56" s="1298" t="s">
        <v>38</v>
      </c>
      <c r="C56" s="289" t="s">
        <v>25</v>
      </c>
      <c r="D56" s="313">
        <f t="shared" ref="D56:D65" si="80">SUM(G56,J56,M56,P56)</f>
        <v>0</v>
      </c>
      <c r="E56" s="314">
        <f t="shared" ref="E56:E65" si="81">SUM(H56,K56,N56,Q56)</f>
        <v>0</v>
      </c>
      <c r="F56" s="315">
        <f>D56-E56</f>
        <v>0</v>
      </c>
      <c r="G56" s="293">
        <v>0</v>
      </c>
      <c r="H56" s="294">
        <v>0</v>
      </c>
      <c r="I56" s="317">
        <f t="shared" ref="I56:I64" si="82">H56-G56</f>
        <v>0</v>
      </c>
      <c r="J56" s="316"/>
      <c r="K56" s="316"/>
      <c r="L56" s="317">
        <f t="shared" ref="L56:L64" si="83">K56-J56</f>
        <v>0</v>
      </c>
      <c r="M56" s="316"/>
      <c r="N56" s="316"/>
      <c r="O56" s="317">
        <f t="shared" ref="O56:O64" si="84">N56-M56</f>
        <v>0</v>
      </c>
      <c r="P56" s="316">
        <v>0</v>
      </c>
      <c r="Q56" s="318">
        <v>0</v>
      </c>
      <c r="R56" s="319">
        <f t="shared" si="74"/>
        <v>0</v>
      </c>
      <c r="S56" s="334">
        <f>'Analyza citlivosti - AgendovéIS'!Q7</f>
        <v>0</v>
      </c>
    </row>
    <row r="57" spans="1:19" x14ac:dyDescent="0.25">
      <c r="A57" s="1296"/>
      <c r="B57" s="1299"/>
      <c r="C57" s="25" t="s">
        <v>26</v>
      </c>
      <c r="D57" s="320">
        <f t="shared" si="80"/>
        <v>0</v>
      </c>
      <c r="E57" s="321">
        <f t="shared" si="81"/>
        <v>0</v>
      </c>
      <c r="F57" s="322">
        <f t="shared" ref="F57:F65" si="85">D57-E57</f>
        <v>0</v>
      </c>
      <c r="G57" s="301">
        <v>0</v>
      </c>
      <c r="H57" s="302">
        <v>0</v>
      </c>
      <c r="I57" s="324">
        <f t="shared" si="82"/>
        <v>0</v>
      </c>
      <c r="J57" s="323"/>
      <c r="K57" s="323"/>
      <c r="L57" s="324">
        <f t="shared" si="83"/>
        <v>0</v>
      </c>
      <c r="M57" s="323"/>
      <c r="N57" s="323"/>
      <c r="O57" s="324">
        <f t="shared" si="84"/>
        <v>0</v>
      </c>
      <c r="P57" s="323">
        <v>0</v>
      </c>
      <c r="Q57" s="325">
        <v>0</v>
      </c>
      <c r="R57" s="326">
        <f t="shared" si="74"/>
        <v>0</v>
      </c>
    </row>
    <row r="58" spans="1:19" x14ac:dyDescent="0.25">
      <c r="A58" s="1296"/>
      <c r="B58" s="1299"/>
      <c r="C58" s="25" t="s">
        <v>27</v>
      </c>
      <c r="D58" s="320">
        <f t="shared" si="80"/>
        <v>0</v>
      </c>
      <c r="E58" s="321">
        <f t="shared" si="81"/>
        <v>0</v>
      </c>
      <c r="F58" s="322">
        <f t="shared" si="85"/>
        <v>0</v>
      </c>
      <c r="G58" s="301">
        <v>0</v>
      </c>
      <c r="H58" s="302">
        <v>0</v>
      </c>
      <c r="I58" s="324">
        <f t="shared" si="82"/>
        <v>0</v>
      </c>
      <c r="J58" s="323"/>
      <c r="K58" s="323"/>
      <c r="L58" s="324">
        <f t="shared" si="83"/>
        <v>0</v>
      </c>
      <c r="M58" s="323"/>
      <c r="N58" s="323"/>
      <c r="O58" s="324">
        <f t="shared" si="84"/>
        <v>0</v>
      </c>
      <c r="P58" s="323">
        <v>0</v>
      </c>
      <c r="Q58" s="325">
        <v>0</v>
      </c>
      <c r="R58" s="326">
        <f t="shared" si="74"/>
        <v>0</v>
      </c>
    </row>
    <row r="59" spans="1:19" x14ac:dyDescent="0.25">
      <c r="A59" s="1296"/>
      <c r="B59" s="1299"/>
      <c r="C59" s="25" t="s">
        <v>28</v>
      </c>
      <c r="D59" s="320">
        <f t="shared" si="80"/>
        <v>0</v>
      </c>
      <c r="E59" s="321">
        <f t="shared" si="81"/>
        <v>0</v>
      </c>
      <c r="F59" s="322">
        <f t="shared" si="85"/>
        <v>0</v>
      </c>
      <c r="G59" s="301">
        <v>0</v>
      </c>
      <c r="H59" s="302">
        <v>0</v>
      </c>
      <c r="I59" s="324">
        <f t="shared" si="82"/>
        <v>0</v>
      </c>
      <c r="J59" s="323"/>
      <c r="K59" s="323"/>
      <c r="L59" s="324">
        <f t="shared" si="83"/>
        <v>0</v>
      </c>
      <c r="M59" s="323"/>
      <c r="N59" s="323"/>
      <c r="O59" s="324">
        <f t="shared" si="84"/>
        <v>0</v>
      </c>
      <c r="P59" s="323">
        <v>0</v>
      </c>
      <c r="Q59" s="325">
        <v>0</v>
      </c>
      <c r="R59" s="326">
        <f t="shared" si="74"/>
        <v>0</v>
      </c>
    </row>
    <row r="60" spans="1:19" x14ac:dyDescent="0.25">
      <c r="A60" s="1296"/>
      <c r="B60" s="1299"/>
      <c r="C60" s="25" t="s">
        <v>29</v>
      </c>
      <c r="D60" s="320">
        <f t="shared" si="80"/>
        <v>0</v>
      </c>
      <c r="E60" s="321">
        <f t="shared" si="81"/>
        <v>0</v>
      </c>
      <c r="F60" s="322">
        <f t="shared" si="85"/>
        <v>0</v>
      </c>
      <c r="G60" s="301">
        <v>0</v>
      </c>
      <c r="H60" s="302">
        <v>0</v>
      </c>
      <c r="I60" s="324">
        <f t="shared" si="82"/>
        <v>0</v>
      </c>
      <c r="J60" s="323"/>
      <c r="K60" s="323"/>
      <c r="L60" s="324">
        <f t="shared" si="83"/>
        <v>0</v>
      </c>
      <c r="M60" s="323"/>
      <c r="N60" s="323"/>
      <c r="O60" s="324">
        <f t="shared" si="84"/>
        <v>0</v>
      </c>
      <c r="P60" s="323">
        <v>0</v>
      </c>
      <c r="Q60" s="325">
        <v>0</v>
      </c>
      <c r="R60" s="326">
        <f t="shared" si="74"/>
        <v>0</v>
      </c>
    </row>
    <row r="61" spans="1:19" x14ac:dyDescent="0.25">
      <c r="A61" s="1296"/>
      <c r="B61" s="1299"/>
      <c r="C61" s="25" t="s">
        <v>30</v>
      </c>
      <c r="D61" s="320">
        <f t="shared" si="80"/>
        <v>0</v>
      </c>
      <c r="E61" s="321">
        <f t="shared" si="81"/>
        <v>0</v>
      </c>
      <c r="F61" s="322">
        <f t="shared" si="85"/>
        <v>0</v>
      </c>
      <c r="G61" s="301">
        <v>0</v>
      </c>
      <c r="H61" s="302">
        <v>0</v>
      </c>
      <c r="I61" s="324">
        <f t="shared" si="82"/>
        <v>0</v>
      </c>
      <c r="J61" s="323"/>
      <c r="K61" s="323"/>
      <c r="L61" s="324">
        <f t="shared" si="83"/>
        <v>0</v>
      </c>
      <c r="M61" s="323"/>
      <c r="N61" s="323"/>
      <c r="O61" s="324">
        <f t="shared" si="84"/>
        <v>0</v>
      </c>
      <c r="P61" s="323">
        <v>0</v>
      </c>
      <c r="Q61" s="325">
        <v>0</v>
      </c>
      <c r="R61" s="326">
        <f t="shared" si="74"/>
        <v>0</v>
      </c>
    </row>
    <row r="62" spans="1:19" x14ac:dyDescent="0.25">
      <c r="A62" s="1296"/>
      <c r="B62" s="1299"/>
      <c r="C62" s="25" t="s">
        <v>31</v>
      </c>
      <c r="D62" s="320">
        <f t="shared" si="80"/>
        <v>0</v>
      </c>
      <c r="E62" s="321">
        <f t="shared" si="81"/>
        <v>0</v>
      </c>
      <c r="F62" s="322">
        <f t="shared" si="85"/>
        <v>0</v>
      </c>
      <c r="G62" s="301">
        <v>0</v>
      </c>
      <c r="H62" s="302">
        <v>0</v>
      </c>
      <c r="I62" s="324">
        <f t="shared" si="82"/>
        <v>0</v>
      </c>
      <c r="J62" s="323"/>
      <c r="K62" s="323"/>
      <c r="L62" s="324">
        <f t="shared" si="83"/>
        <v>0</v>
      </c>
      <c r="M62" s="323"/>
      <c r="N62" s="323"/>
      <c r="O62" s="324">
        <f t="shared" si="84"/>
        <v>0</v>
      </c>
      <c r="P62" s="323">
        <v>0</v>
      </c>
      <c r="Q62" s="325">
        <v>0</v>
      </c>
      <c r="R62" s="326">
        <f t="shared" si="74"/>
        <v>0</v>
      </c>
    </row>
    <row r="63" spans="1:19" x14ac:dyDescent="0.25">
      <c r="A63" s="1296"/>
      <c r="B63" s="1299"/>
      <c r="C63" s="25" t="s">
        <v>32</v>
      </c>
      <c r="D63" s="320">
        <f t="shared" si="80"/>
        <v>0</v>
      </c>
      <c r="E63" s="321">
        <f t="shared" si="81"/>
        <v>0</v>
      </c>
      <c r="F63" s="322">
        <f t="shared" si="85"/>
        <v>0</v>
      </c>
      <c r="G63" s="301">
        <v>0</v>
      </c>
      <c r="H63" s="302">
        <v>0</v>
      </c>
      <c r="I63" s="324">
        <f t="shared" si="82"/>
        <v>0</v>
      </c>
      <c r="J63" s="323"/>
      <c r="K63" s="323"/>
      <c r="L63" s="324">
        <f t="shared" si="83"/>
        <v>0</v>
      </c>
      <c r="M63" s="323"/>
      <c r="N63" s="323"/>
      <c r="O63" s="324">
        <f t="shared" si="84"/>
        <v>0</v>
      </c>
      <c r="P63" s="323">
        <v>0</v>
      </c>
      <c r="Q63" s="325">
        <v>0</v>
      </c>
      <c r="R63" s="326">
        <f t="shared" si="74"/>
        <v>0</v>
      </c>
    </row>
    <row r="64" spans="1:19" x14ac:dyDescent="0.25">
      <c r="A64" s="1296"/>
      <c r="B64" s="1299"/>
      <c r="C64" s="25" t="s">
        <v>33</v>
      </c>
      <c r="D64" s="320">
        <f t="shared" si="80"/>
        <v>0</v>
      </c>
      <c r="E64" s="321">
        <f t="shared" si="81"/>
        <v>0</v>
      </c>
      <c r="F64" s="322">
        <f t="shared" si="85"/>
        <v>0</v>
      </c>
      <c r="G64" s="301">
        <v>0</v>
      </c>
      <c r="H64" s="302">
        <v>0</v>
      </c>
      <c r="I64" s="324">
        <f t="shared" si="82"/>
        <v>0</v>
      </c>
      <c r="J64" s="323"/>
      <c r="K64" s="323"/>
      <c r="L64" s="324">
        <f t="shared" si="83"/>
        <v>0</v>
      </c>
      <c r="M64" s="323"/>
      <c r="N64" s="323"/>
      <c r="O64" s="324">
        <f t="shared" si="84"/>
        <v>0</v>
      </c>
      <c r="P64" s="323">
        <v>0</v>
      </c>
      <c r="Q64" s="325">
        <v>0</v>
      </c>
      <c r="R64" s="326">
        <f t="shared" si="74"/>
        <v>0</v>
      </c>
    </row>
    <row r="65" spans="1:19" ht="15.75" thickBot="1" x14ac:dyDescent="0.3">
      <c r="A65" s="1297"/>
      <c r="B65" s="1300"/>
      <c r="C65" s="305" t="s">
        <v>34</v>
      </c>
      <c r="D65" s="327">
        <f t="shared" si="80"/>
        <v>0</v>
      </c>
      <c r="E65" s="328">
        <f t="shared" si="81"/>
        <v>0</v>
      </c>
      <c r="F65" s="329">
        <f t="shared" si="85"/>
        <v>0</v>
      </c>
      <c r="G65" s="309">
        <v>0</v>
      </c>
      <c r="H65" s="310">
        <v>0</v>
      </c>
      <c r="I65" s="331">
        <f>H65-G65</f>
        <v>0</v>
      </c>
      <c r="J65" s="330"/>
      <c r="K65" s="330"/>
      <c r="L65" s="331">
        <f>K65-J65</f>
        <v>0</v>
      </c>
      <c r="M65" s="330"/>
      <c r="N65" s="330"/>
      <c r="O65" s="331">
        <f>N65-M65</f>
        <v>0</v>
      </c>
      <c r="P65" s="330">
        <v>0</v>
      </c>
      <c r="Q65" s="332">
        <v>0</v>
      </c>
      <c r="R65" s="333">
        <f>Q65-P65</f>
        <v>0</v>
      </c>
    </row>
    <row r="66" spans="1:19" s="335" customFormat="1" ht="14.25" customHeight="1" x14ac:dyDescent="0.25">
      <c r="A66" s="1295" t="s">
        <v>621</v>
      </c>
      <c r="B66" s="1298" t="s">
        <v>13</v>
      </c>
      <c r="C66" s="289" t="s">
        <v>25</v>
      </c>
      <c r="D66" s="290">
        <f t="shared" ref="D66:D75" si="86">G66+J66+M66+P66</f>
        <v>2179.7342574568293</v>
      </c>
      <c r="E66" s="291">
        <f t="shared" ref="E66:E75" si="87">H66+K66+N66+Q66</f>
        <v>2179.7342574568293</v>
      </c>
      <c r="F66" s="292">
        <f t="shared" ref="F66:F75" si="88">I66+L66+O66+R66</f>
        <v>0</v>
      </c>
      <c r="G66" s="860">
        <f>'Procesy - AS IS'!$F$133*('TCO TO BE- SW'!$G$177+'TCO TO BE - HW'!$F$86)/('TCO TO BE- SW'!$E$177+'TCO TO BE - HW'!$E$86)</f>
        <v>1697.9379264227891</v>
      </c>
      <c r="H66" s="861">
        <f>G66</f>
        <v>1697.9379264227891</v>
      </c>
      <c r="I66" s="317">
        <f>H66-G66</f>
        <v>0</v>
      </c>
      <c r="J66" s="866">
        <f>'Procesy - AS IS'!$F$133*('TCO TO BE- SW'!$H$177+'TCO TO BE - HW'!$G$86)/('TCO TO BE- SW'!$E$177+'TCO TO BE - HW'!$E$86)</f>
        <v>450.54173826744005</v>
      </c>
      <c r="K66" s="861">
        <f>J66</f>
        <v>450.54173826744005</v>
      </c>
      <c r="L66" s="317">
        <f>K66-J66</f>
        <v>0</v>
      </c>
      <c r="M66" s="866">
        <f>'Procesy - AS IS'!$F$133*('TCO TO BE- SW'!$I$177+'TCO TO BE - HW'!$H$86)/('TCO TO BE- SW'!$E$177+'TCO TO BE - HW'!$E$86)</f>
        <v>28.086318979300714</v>
      </c>
      <c r="N66" s="861">
        <f>M66</f>
        <v>28.086318979300714</v>
      </c>
      <c r="O66" s="317">
        <f>N66-M66</f>
        <v>0</v>
      </c>
      <c r="P66" s="866">
        <f>'Procesy - AS IS'!$F$133*('TCO TO BE- SW'!$J$177+'TCO TO BE - HW'!$I$86)/('TCO TO BE- SW'!$E$177+'TCO TO BE - HW'!$E$86)</f>
        <v>3.168273787299166</v>
      </c>
      <c r="Q66" s="861">
        <f>P66</f>
        <v>3.168273787299166</v>
      </c>
      <c r="R66" s="319">
        <f>Q66-P66</f>
        <v>0</v>
      </c>
      <c r="S66" s="334"/>
    </row>
    <row r="67" spans="1:19" x14ac:dyDescent="0.25">
      <c r="A67" s="1296"/>
      <c r="B67" s="1299"/>
      <c r="C67" s="25" t="s">
        <v>26</v>
      </c>
      <c r="D67" s="298">
        <f t="shared" si="86"/>
        <v>2179.7342574568293</v>
      </c>
      <c r="E67" s="299">
        <f t="shared" si="87"/>
        <v>2179.7342574568293</v>
      </c>
      <c r="F67" s="300">
        <f t="shared" si="88"/>
        <v>0</v>
      </c>
      <c r="G67" s="862">
        <f>G66</f>
        <v>1697.9379264227891</v>
      </c>
      <c r="H67" s="863">
        <f>H66</f>
        <v>1697.9379264227891</v>
      </c>
      <c r="I67" s="324">
        <f t="shared" ref="I67:I75" si="89">H67-G67</f>
        <v>0</v>
      </c>
      <c r="J67" s="862">
        <f>J66</f>
        <v>450.54173826744005</v>
      </c>
      <c r="K67" s="863">
        <f>K66</f>
        <v>450.54173826744005</v>
      </c>
      <c r="L67" s="324">
        <f t="shared" ref="L67:L75" si="90">K67-J67</f>
        <v>0</v>
      </c>
      <c r="M67" s="862">
        <f>M66</f>
        <v>28.086318979300714</v>
      </c>
      <c r="N67" s="863">
        <f>N66</f>
        <v>28.086318979300714</v>
      </c>
      <c r="O67" s="324">
        <f t="shared" ref="O67:O75" si="91">N67-M67</f>
        <v>0</v>
      </c>
      <c r="P67" s="862">
        <f>P66</f>
        <v>3.168273787299166</v>
      </c>
      <c r="Q67" s="863">
        <f>Q66</f>
        <v>3.168273787299166</v>
      </c>
      <c r="R67" s="326">
        <f t="shared" ref="R67:R75" si="92">Q67-P67</f>
        <v>0</v>
      </c>
    </row>
    <row r="68" spans="1:19" x14ac:dyDescent="0.25">
      <c r="A68" s="1296"/>
      <c r="B68" s="1299"/>
      <c r="C68" s="25" t="s">
        <v>27</v>
      </c>
      <c r="D68" s="298">
        <f t="shared" si="86"/>
        <v>2179.7342574568293</v>
      </c>
      <c r="E68" s="299">
        <f t="shared" si="87"/>
        <v>2179.7342574568293</v>
      </c>
      <c r="F68" s="300">
        <f t="shared" si="88"/>
        <v>0</v>
      </c>
      <c r="G68" s="862">
        <f>G67</f>
        <v>1697.9379264227891</v>
      </c>
      <c r="H68" s="863">
        <f t="shared" ref="H68:H75" si="93">H67</f>
        <v>1697.9379264227891</v>
      </c>
      <c r="I68" s="324">
        <f t="shared" si="89"/>
        <v>0</v>
      </c>
      <c r="J68" s="862">
        <f>J67</f>
        <v>450.54173826744005</v>
      </c>
      <c r="K68" s="867">
        <f>K67</f>
        <v>450.54173826744005</v>
      </c>
      <c r="L68" s="324">
        <f t="shared" si="90"/>
        <v>0</v>
      </c>
      <c r="M68" s="862">
        <f>M67</f>
        <v>28.086318979300714</v>
      </c>
      <c r="N68" s="867">
        <f>N67</f>
        <v>28.086318979300714</v>
      </c>
      <c r="O68" s="324">
        <f t="shared" si="91"/>
        <v>0</v>
      </c>
      <c r="P68" s="862">
        <f>P67</f>
        <v>3.168273787299166</v>
      </c>
      <c r="Q68" s="868">
        <f>Q67</f>
        <v>3.168273787299166</v>
      </c>
      <c r="R68" s="326">
        <f t="shared" si="92"/>
        <v>0</v>
      </c>
    </row>
    <row r="69" spans="1:19" x14ac:dyDescent="0.25">
      <c r="A69" s="1296"/>
      <c r="B69" s="1299"/>
      <c r="C69" s="25" t="s">
        <v>28</v>
      </c>
      <c r="D69" s="298">
        <f t="shared" si="86"/>
        <v>2179.7342574568293</v>
      </c>
      <c r="E69" s="299">
        <f t="shared" si="87"/>
        <v>2179.7342574568293</v>
      </c>
      <c r="F69" s="300">
        <f t="shared" si="88"/>
        <v>0</v>
      </c>
      <c r="G69" s="862">
        <f t="shared" ref="G69:G75" si="94">G68</f>
        <v>1697.9379264227891</v>
      </c>
      <c r="H69" s="863">
        <f t="shared" si="93"/>
        <v>1697.9379264227891</v>
      </c>
      <c r="I69" s="324">
        <f t="shared" si="89"/>
        <v>0</v>
      </c>
      <c r="J69" s="862">
        <f t="shared" ref="J69:K75" si="95">J68</f>
        <v>450.54173826744005</v>
      </c>
      <c r="K69" s="863">
        <f>K68</f>
        <v>450.54173826744005</v>
      </c>
      <c r="L69" s="324">
        <f t="shared" si="90"/>
        <v>0</v>
      </c>
      <c r="M69" s="862">
        <f t="shared" ref="M69:N75" si="96">M68</f>
        <v>28.086318979300714</v>
      </c>
      <c r="N69" s="863">
        <f>N68</f>
        <v>28.086318979300714</v>
      </c>
      <c r="O69" s="324">
        <f t="shared" si="91"/>
        <v>0</v>
      </c>
      <c r="P69" s="862">
        <f t="shared" ref="P69:Q75" si="97">P68</f>
        <v>3.168273787299166</v>
      </c>
      <c r="Q69" s="863">
        <f>Q68</f>
        <v>3.168273787299166</v>
      </c>
      <c r="R69" s="326">
        <f t="shared" si="92"/>
        <v>0</v>
      </c>
    </row>
    <row r="70" spans="1:19" x14ac:dyDescent="0.25">
      <c r="A70" s="1296"/>
      <c r="B70" s="1299"/>
      <c r="C70" s="25" t="s">
        <v>29</v>
      </c>
      <c r="D70" s="298">
        <f t="shared" si="86"/>
        <v>2179.7342574568293</v>
      </c>
      <c r="E70" s="299">
        <f t="shared" si="87"/>
        <v>2179.7342574568293</v>
      </c>
      <c r="F70" s="300">
        <f t="shared" si="88"/>
        <v>0</v>
      </c>
      <c r="G70" s="862">
        <f t="shared" si="94"/>
        <v>1697.9379264227891</v>
      </c>
      <c r="H70" s="863">
        <f t="shared" si="93"/>
        <v>1697.9379264227891</v>
      </c>
      <c r="I70" s="324">
        <f t="shared" si="89"/>
        <v>0</v>
      </c>
      <c r="J70" s="862">
        <f t="shared" si="95"/>
        <v>450.54173826744005</v>
      </c>
      <c r="K70" s="863">
        <f t="shared" si="95"/>
        <v>450.54173826744005</v>
      </c>
      <c r="L70" s="324">
        <f t="shared" si="90"/>
        <v>0</v>
      </c>
      <c r="M70" s="862">
        <f t="shared" si="96"/>
        <v>28.086318979300714</v>
      </c>
      <c r="N70" s="863">
        <f t="shared" si="96"/>
        <v>28.086318979300714</v>
      </c>
      <c r="O70" s="324">
        <f t="shared" si="91"/>
        <v>0</v>
      </c>
      <c r="P70" s="862">
        <f t="shared" si="97"/>
        <v>3.168273787299166</v>
      </c>
      <c r="Q70" s="863">
        <f t="shared" si="97"/>
        <v>3.168273787299166</v>
      </c>
      <c r="R70" s="326">
        <f t="shared" si="92"/>
        <v>0</v>
      </c>
    </row>
    <row r="71" spans="1:19" x14ac:dyDescent="0.25">
      <c r="A71" s="1296"/>
      <c r="B71" s="1299"/>
      <c r="C71" s="25" t="s">
        <v>30</v>
      </c>
      <c r="D71" s="298">
        <f t="shared" si="86"/>
        <v>2179.7342574568293</v>
      </c>
      <c r="E71" s="299">
        <f t="shared" si="87"/>
        <v>2179.7342574568293</v>
      </c>
      <c r="F71" s="300">
        <f t="shared" si="88"/>
        <v>0</v>
      </c>
      <c r="G71" s="862">
        <f t="shared" si="94"/>
        <v>1697.9379264227891</v>
      </c>
      <c r="H71" s="863">
        <f t="shared" si="93"/>
        <v>1697.9379264227891</v>
      </c>
      <c r="I71" s="324">
        <f t="shared" si="89"/>
        <v>0</v>
      </c>
      <c r="J71" s="862">
        <f t="shared" si="95"/>
        <v>450.54173826744005</v>
      </c>
      <c r="K71" s="863">
        <f t="shared" si="95"/>
        <v>450.54173826744005</v>
      </c>
      <c r="L71" s="324">
        <f t="shared" si="90"/>
        <v>0</v>
      </c>
      <c r="M71" s="862">
        <f t="shared" si="96"/>
        <v>28.086318979300714</v>
      </c>
      <c r="N71" s="863">
        <f t="shared" si="96"/>
        <v>28.086318979300714</v>
      </c>
      <c r="O71" s="324">
        <f t="shared" si="91"/>
        <v>0</v>
      </c>
      <c r="P71" s="862">
        <f t="shared" si="97"/>
        <v>3.168273787299166</v>
      </c>
      <c r="Q71" s="863">
        <f t="shared" si="97"/>
        <v>3.168273787299166</v>
      </c>
      <c r="R71" s="326">
        <f t="shared" si="92"/>
        <v>0</v>
      </c>
    </row>
    <row r="72" spans="1:19" x14ac:dyDescent="0.25">
      <c r="A72" s="1296"/>
      <c r="B72" s="1299"/>
      <c r="C72" s="25" t="s">
        <v>31</v>
      </c>
      <c r="D72" s="298">
        <f t="shared" si="86"/>
        <v>2179.7342574568293</v>
      </c>
      <c r="E72" s="299">
        <f t="shared" si="87"/>
        <v>2179.7342574568293</v>
      </c>
      <c r="F72" s="300">
        <f t="shared" si="88"/>
        <v>0</v>
      </c>
      <c r="G72" s="862">
        <f t="shared" si="94"/>
        <v>1697.9379264227891</v>
      </c>
      <c r="H72" s="863">
        <f t="shared" si="93"/>
        <v>1697.9379264227891</v>
      </c>
      <c r="I72" s="324">
        <f t="shared" si="89"/>
        <v>0</v>
      </c>
      <c r="J72" s="862">
        <f t="shared" si="95"/>
        <v>450.54173826744005</v>
      </c>
      <c r="K72" s="863">
        <f t="shared" si="95"/>
        <v>450.54173826744005</v>
      </c>
      <c r="L72" s="324">
        <f t="shared" si="90"/>
        <v>0</v>
      </c>
      <c r="M72" s="862">
        <f t="shared" si="96"/>
        <v>28.086318979300714</v>
      </c>
      <c r="N72" s="863">
        <f t="shared" si="96"/>
        <v>28.086318979300714</v>
      </c>
      <c r="O72" s="324">
        <f t="shared" si="91"/>
        <v>0</v>
      </c>
      <c r="P72" s="862">
        <f t="shared" si="97"/>
        <v>3.168273787299166</v>
      </c>
      <c r="Q72" s="863">
        <f t="shared" si="97"/>
        <v>3.168273787299166</v>
      </c>
      <c r="R72" s="326">
        <f t="shared" si="92"/>
        <v>0</v>
      </c>
    </row>
    <row r="73" spans="1:19" x14ac:dyDescent="0.25">
      <c r="A73" s="1296"/>
      <c r="B73" s="1299"/>
      <c r="C73" s="25" t="s">
        <v>32</v>
      </c>
      <c r="D73" s="298">
        <f t="shared" si="86"/>
        <v>2179.7342574568293</v>
      </c>
      <c r="E73" s="299">
        <f t="shared" si="87"/>
        <v>2179.7342574568293</v>
      </c>
      <c r="F73" s="300">
        <f t="shared" si="88"/>
        <v>0</v>
      </c>
      <c r="G73" s="862">
        <f t="shared" si="94"/>
        <v>1697.9379264227891</v>
      </c>
      <c r="H73" s="863">
        <f t="shared" si="93"/>
        <v>1697.9379264227891</v>
      </c>
      <c r="I73" s="324">
        <f t="shared" si="89"/>
        <v>0</v>
      </c>
      <c r="J73" s="862">
        <f t="shared" si="95"/>
        <v>450.54173826744005</v>
      </c>
      <c r="K73" s="863">
        <f t="shared" si="95"/>
        <v>450.54173826744005</v>
      </c>
      <c r="L73" s="324">
        <f t="shared" si="90"/>
        <v>0</v>
      </c>
      <c r="M73" s="862">
        <f t="shared" si="96"/>
        <v>28.086318979300714</v>
      </c>
      <c r="N73" s="863">
        <f t="shared" si="96"/>
        <v>28.086318979300714</v>
      </c>
      <c r="O73" s="324">
        <f t="shared" si="91"/>
        <v>0</v>
      </c>
      <c r="P73" s="862">
        <f t="shared" si="97"/>
        <v>3.168273787299166</v>
      </c>
      <c r="Q73" s="863">
        <f t="shared" si="97"/>
        <v>3.168273787299166</v>
      </c>
      <c r="R73" s="326">
        <f t="shared" si="92"/>
        <v>0</v>
      </c>
    </row>
    <row r="74" spans="1:19" x14ac:dyDescent="0.25">
      <c r="A74" s="1296"/>
      <c r="B74" s="1299"/>
      <c r="C74" s="25" t="s">
        <v>33</v>
      </c>
      <c r="D74" s="298">
        <f t="shared" si="86"/>
        <v>2179.7342574568293</v>
      </c>
      <c r="E74" s="299">
        <f t="shared" si="87"/>
        <v>2179.7342574568293</v>
      </c>
      <c r="F74" s="300">
        <f t="shared" si="88"/>
        <v>0</v>
      </c>
      <c r="G74" s="862">
        <f t="shared" si="94"/>
        <v>1697.9379264227891</v>
      </c>
      <c r="H74" s="863">
        <f t="shared" si="93"/>
        <v>1697.9379264227891</v>
      </c>
      <c r="I74" s="324">
        <f t="shared" si="89"/>
        <v>0</v>
      </c>
      <c r="J74" s="862">
        <f t="shared" si="95"/>
        <v>450.54173826744005</v>
      </c>
      <c r="K74" s="863">
        <f t="shared" si="95"/>
        <v>450.54173826744005</v>
      </c>
      <c r="L74" s="324">
        <f t="shared" si="90"/>
        <v>0</v>
      </c>
      <c r="M74" s="862">
        <f t="shared" si="96"/>
        <v>28.086318979300714</v>
      </c>
      <c r="N74" s="863">
        <f t="shared" si="96"/>
        <v>28.086318979300714</v>
      </c>
      <c r="O74" s="324">
        <f t="shared" si="91"/>
        <v>0</v>
      </c>
      <c r="P74" s="862">
        <f t="shared" si="97"/>
        <v>3.168273787299166</v>
      </c>
      <c r="Q74" s="863">
        <f t="shared" si="97"/>
        <v>3.168273787299166</v>
      </c>
      <c r="R74" s="326">
        <f t="shared" si="92"/>
        <v>0</v>
      </c>
    </row>
    <row r="75" spans="1:19" ht="15.75" thickBot="1" x14ac:dyDescent="0.3">
      <c r="A75" s="1297"/>
      <c r="B75" s="1300"/>
      <c r="C75" s="305" t="s">
        <v>34</v>
      </c>
      <c r="D75" s="306">
        <f t="shared" si="86"/>
        <v>2179.7342574568293</v>
      </c>
      <c r="E75" s="307">
        <f t="shared" si="87"/>
        <v>2179.7342574568293</v>
      </c>
      <c r="F75" s="308">
        <f t="shared" si="88"/>
        <v>0</v>
      </c>
      <c r="G75" s="864">
        <f t="shared" si="94"/>
        <v>1697.9379264227891</v>
      </c>
      <c r="H75" s="865">
        <f t="shared" si="93"/>
        <v>1697.9379264227891</v>
      </c>
      <c r="I75" s="331">
        <f t="shared" si="89"/>
        <v>0</v>
      </c>
      <c r="J75" s="864">
        <f t="shared" si="95"/>
        <v>450.54173826744005</v>
      </c>
      <c r="K75" s="865">
        <f t="shared" si="95"/>
        <v>450.54173826744005</v>
      </c>
      <c r="L75" s="331">
        <f t="shared" si="90"/>
        <v>0</v>
      </c>
      <c r="M75" s="864">
        <f t="shared" si="96"/>
        <v>28.086318979300714</v>
      </c>
      <c r="N75" s="865">
        <f t="shared" si="96"/>
        <v>28.086318979300714</v>
      </c>
      <c r="O75" s="331">
        <f t="shared" si="91"/>
        <v>0</v>
      </c>
      <c r="P75" s="864">
        <f t="shared" si="97"/>
        <v>3.168273787299166</v>
      </c>
      <c r="Q75" s="865">
        <f t="shared" si="97"/>
        <v>3.168273787299166</v>
      </c>
      <c r="R75" s="333">
        <f t="shared" si="92"/>
        <v>0</v>
      </c>
    </row>
    <row r="76" spans="1:19" s="335" customFormat="1" ht="14.25" customHeight="1" x14ac:dyDescent="0.25">
      <c r="A76" s="1296" t="s">
        <v>39</v>
      </c>
      <c r="B76" s="1299" t="s">
        <v>13</v>
      </c>
      <c r="C76" s="25" t="s">
        <v>25</v>
      </c>
      <c r="D76" s="290">
        <f t="shared" ref="D76:D85" si="98">G76+J76+M76+P76</f>
        <v>2123061.1667629513</v>
      </c>
      <c r="E76" s="291">
        <f t="shared" ref="E76:E85" si="99">H76+K76+N76+Q76</f>
        <v>2123061.1667629513</v>
      </c>
      <c r="F76" s="292">
        <f t="shared" ref="F76:F85" si="100">I76+L76+O76+R76</f>
        <v>0</v>
      </c>
      <c r="G76" s="512">
        <f>G16*G66</f>
        <v>1653791.5403357965</v>
      </c>
      <c r="H76" s="513">
        <f>H16*H66</f>
        <v>1653791.5403357965</v>
      </c>
      <c r="I76" s="571">
        <f t="shared" ref="I76:I85" si="101">H76-G76</f>
        <v>0</v>
      </c>
      <c r="J76" s="512">
        <f>J16*J66</f>
        <v>438827.65307248663</v>
      </c>
      <c r="K76" s="513">
        <f>K16*K66</f>
        <v>438827.65307248663</v>
      </c>
      <c r="L76" s="295">
        <f t="shared" ref="L76:L85" si="102">K76-J76</f>
        <v>0</v>
      </c>
      <c r="M76" s="512">
        <f>M16*M66</f>
        <v>27356.074685838896</v>
      </c>
      <c r="N76" s="513">
        <f>N16*N66</f>
        <v>27356.074685838896</v>
      </c>
      <c r="O76" s="295">
        <f t="shared" ref="O76:O85" si="103">N76-M76</f>
        <v>0</v>
      </c>
      <c r="P76" s="512">
        <f>P16*P66</f>
        <v>3085.8986688293876</v>
      </c>
      <c r="Q76" s="513">
        <f>Q16*Q66</f>
        <v>3085.8986688293876</v>
      </c>
      <c r="R76" s="296">
        <f t="shared" ref="R76:R85" si="104">Q76-P76</f>
        <v>0</v>
      </c>
      <c r="S76" s="334"/>
    </row>
    <row r="77" spans="1:19" x14ac:dyDescent="0.25">
      <c r="A77" s="1296"/>
      <c r="B77" s="1299"/>
      <c r="C77" s="25" t="s">
        <v>26</v>
      </c>
      <c r="D77" s="298">
        <f t="shared" si="98"/>
        <v>2123061.1667629513</v>
      </c>
      <c r="E77" s="299">
        <f t="shared" si="99"/>
        <v>2123061.1667629513</v>
      </c>
      <c r="F77" s="300">
        <f t="shared" si="100"/>
        <v>0</v>
      </c>
      <c r="G77" s="514">
        <f t="shared" ref="G77:H77" si="105">G17*G67</f>
        <v>1653791.5403357965</v>
      </c>
      <c r="H77" s="515">
        <f t="shared" si="105"/>
        <v>1653791.5403357965</v>
      </c>
      <c r="I77" s="572">
        <f t="shared" si="101"/>
        <v>0</v>
      </c>
      <c r="J77" s="514">
        <f t="shared" ref="J77:K77" si="106">J17*J67</f>
        <v>438827.65307248663</v>
      </c>
      <c r="K77" s="515">
        <f t="shared" si="106"/>
        <v>438827.65307248663</v>
      </c>
      <c r="L77" s="303">
        <f t="shared" si="102"/>
        <v>0</v>
      </c>
      <c r="M77" s="514">
        <f t="shared" ref="M77:N77" si="107">M17*M67</f>
        <v>27356.074685838896</v>
      </c>
      <c r="N77" s="515">
        <f t="shared" si="107"/>
        <v>27356.074685838896</v>
      </c>
      <c r="O77" s="303">
        <f t="shared" si="103"/>
        <v>0</v>
      </c>
      <c r="P77" s="514">
        <f t="shared" ref="P77:Q77" si="108">P17*P67</f>
        <v>3085.8986688293876</v>
      </c>
      <c r="Q77" s="515">
        <f t="shared" si="108"/>
        <v>3085.8986688293876</v>
      </c>
      <c r="R77" s="304">
        <f t="shared" si="104"/>
        <v>0</v>
      </c>
    </row>
    <row r="78" spans="1:19" x14ac:dyDescent="0.25">
      <c r="A78" s="1296"/>
      <c r="B78" s="1299"/>
      <c r="C78" s="25" t="s">
        <v>27</v>
      </c>
      <c r="D78" s="298">
        <f t="shared" si="98"/>
        <v>2123061.1667629513</v>
      </c>
      <c r="E78" s="299">
        <f t="shared" si="99"/>
        <v>2123061.1667629513</v>
      </c>
      <c r="F78" s="300">
        <f t="shared" si="100"/>
        <v>0</v>
      </c>
      <c r="G78" s="514">
        <f t="shared" ref="G78:H78" si="109">G18*G68</f>
        <v>1653791.5403357965</v>
      </c>
      <c r="H78" s="515">
        <f t="shared" si="109"/>
        <v>1653791.5403357965</v>
      </c>
      <c r="I78" s="572">
        <f t="shared" si="101"/>
        <v>0</v>
      </c>
      <c r="J78" s="514">
        <f t="shared" ref="J78:K78" si="110">J18*J68</f>
        <v>438827.65307248663</v>
      </c>
      <c r="K78" s="515">
        <f t="shared" si="110"/>
        <v>438827.65307248663</v>
      </c>
      <c r="L78" s="303">
        <f t="shared" si="102"/>
        <v>0</v>
      </c>
      <c r="M78" s="514">
        <f t="shared" ref="M78:N78" si="111">M18*M68</f>
        <v>27356.074685838896</v>
      </c>
      <c r="N78" s="515">
        <f t="shared" si="111"/>
        <v>27356.074685838896</v>
      </c>
      <c r="O78" s="303">
        <f t="shared" si="103"/>
        <v>0</v>
      </c>
      <c r="P78" s="514">
        <f t="shared" ref="P78:Q78" si="112">P18*P68</f>
        <v>3085.8986688293876</v>
      </c>
      <c r="Q78" s="515">
        <f t="shared" si="112"/>
        <v>3085.8986688293876</v>
      </c>
      <c r="R78" s="304">
        <f t="shared" si="104"/>
        <v>0</v>
      </c>
    </row>
    <row r="79" spans="1:19" x14ac:dyDescent="0.25">
      <c r="A79" s="1296"/>
      <c r="B79" s="1299"/>
      <c r="C79" s="25" t="s">
        <v>28</v>
      </c>
      <c r="D79" s="298">
        <f t="shared" si="98"/>
        <v>2123061.1667629513</v>
      </c>
      <c r="E79" s="299">
        <f t="shared" si="99"/>
        <v>3083064.345743285</v>
      </c>
      <c r="F79" s="300">
        <f t="shared" si="100"/>
        <v>960003.17898033361</v>
      </c>
      <c r="G79" s="514">
        <f t="shared" ref="G79:H79" si="113">G19*G69</f>
        <v>1653791.5403357965</v>
      </c>
      <c r="H79" s="515">
        <f t="shared" si="113"/>
        <v>2401600.9586173445</v>
      </c>
      <c r="I79" s="572">
        <f t="shared" si="101"/>
        <v>747809.41828154796</v>
      </c>
      <c r="J79" s="514">
        <f t="shared" ref="J79:K79" si="114">J19*J69</f>
        <v>438827.65307248663</v>
      </c>
      <c r="K79" s="515">
        <f t="shared" si="114"/>
        <v>637256.19981868751</v>
      </c>
      <c r="L79" s="303">
        <f t="shared" si="102"/>
        <v>198428.54674620088</v>
      </c>
      <c r="M79" s="514">
        <f t="shared" ref="M79:N79" si="115">M19*M69</f>
        <v>27356.074685838896</v>
      </c>
      <c r="N79" s="515">
        <f t="shared" si="115"/>
        <v>39725.910785695844</v>
      </c>
      <c r="O79" s="303">
        <f t="shared" si="103"/>
        <v>12369.836099856948</v>
      </c>
      <c r="P79" s="514">
        <f t="shared" ref="P79:Q79" si="116">P19*P69</f>
        <v>3085.8986688293876</v>
      </c>
      <c r="Q79" s="515">
        <f t="shared" si="116"/>
        <v>4481.2765215571535</v>
      </c>
      <c r="R79" s="304">
        <f t="shared" si="104"/>
        <v>1395.3778527277659</v>
      </c>
    </row>
    <row r="80" spans="1:19" x14ac:dyDescent="0.25">
      <c r="A80" s="1296"/>
      <c r="B80" s="1299"/>
      <c r="C80" s="25" t="s">
        <v>29</v>
      </c>
      <c r="D80" s="298">
        <f t="shared" si="98"/>
        <v>2123061.1667629513</v>
      </c>
      <c r="E80" s="299">
        <f t="shared" si="99"/>
        <v>3083064.345743285</v>
      </c>
      <c r="F80" s="300">
        <f t="shared" si="100"/>
        <v>960003.17898033361</v>
      </c>
      <c r="G80" s="514">
        <f t="shared" ref="G80:H80" si="117">G20*G70</f>
        <v>1653791.5403357965</v>
      </c>
      <c r="H80" s="515">
        <f t="shared" si="117"/>
        <v>2401600.9586173445</v>
      </c>
      <c r="I80" s="572">
        <f t="shared" si="101"/>
        <v>747809.41828154796</v>
      </c>
      <c r="J80" s="514">
        <f t="shared" ref="J80:K80" si="118">J20*J70</f>
        <v>438827.65307248663</v>
      </c>
      <c r="K80" s="515">
        <f t="shared" si="118"/>
        <v>637256.19981868751</v>
      </c>
      <c r="L80" s="303">
        <f t="shared" si="102"/>
        <v>198428.54674620088</v>
      </c>
      <c r="M80" s="514">
        <f t="shared" ref="M80:N80" si="119">M20*M70</f>
        <v>27356.074685838896</v>
      </c>
      <c r="N80" s="515">
        <f t="shared" si="119"/>
        <v>39725.910785695844</v>
      </c>
      <c r="O80" s="303">
        <f t="shared" si="103"/>
        <v>12369.836099856948</v>
      </c>
      <c r="P80" s="514">
        <f t="shared" ref="P80:Q80" si="120">P20*P70</f>
        <v>3085.8986688293876</v>
      </c>
      <c r="Q80" s="515">
        <f t="shared" si="120"/>
        <v>4481.2765215571535</v>
      </c>
      <c r="R80" s="304">
        <f t="shared" si="104"/>
        <v>1395.3778527277659</v>
      </c>
    </row>
    <row r="81" spans="1:19" x14ac:dyDescent="0.25">
      <c r="A81" s="1296"/>
      <c r="B81" s="1299"/>
      <c r="C81" s="25" t="s">
        <v>30</v>
      </c>
      <c r="D81" s="298">
        <f t="shared" si="98"/>
        <v>2123061.1667629513</v>
      </c>
      <c r="E81" s="299">
        <f t="shared" si="99"/>
        <v>3083064.345743285</v>
      </c>
      <c r="F81" s="300">
        <f t="shared" si="100"/>
        <v>960003.17898033361</v>
      </c>
      <c r="G81" s="514">
        <f t="shared" ref="G81:H81" si="121">G21*G71</f>
        <v>1653791.5403357965</v>
      </c>
      <c r="H81" s="515">
        <f t="shared" si="121"/>
        <v>2401600.9586173445</v>
      </c>
      <c r="I81" s="572">
        <f t="shared" si="101"/>
        <v>747809.41828154796</v>
      </c>
      <c r="J81" s="514">
        <f t="shared" ref="J81:K81" si="122">J21*J71</f>
        <v>438827.65307248663</v>
      </c>
      <c r="K81" s="515">
        <f t="shared" si="122"/>
        <v>637256.19981868751</v>
      </c>
      <c r="L81" s="303">
        <f t="shared" si="102"/>
        <v>198428.54674620088</v>
      </c>
      <c r="M81" s="514">
        <f t="shared" ref="M81:N81" si="123">M21*M71</f>
        <v>27356.074685838896</v>
      </c>
      <c r="N81" s="515">
        <f t="shared" si="123"/>
        <v>39725.910785695844</v>
      </c>
      <c r="O81" s="303">
        <f t="shared" si="103"/>
        <v>12369.836099856948</v>
      </c>
      <c r="P81" s="514">
        <f t="shared" ref="P81:Q81" si="124">P21*P71</f>
        <v>3085.8986688293876</v>
      </c>
      <c r="Q81" s="515">
        <f t="shared" si="124"/>
        <v>4481.2765215571535</v>
      </c>
      <c r="R81" s="304">
        <f t="shared" si="104"/>
        <v>1395.3778527277659</v>
      </c>
    </row>
    <row r="82" spans="1:19" x14ac:dyDescent="0.25">
      <c r="A82" s="1296"/>
      <c r="B82" s="1299"/>
      <c r="C82" s="25" t="s">
        <v>31</v>
      </c>
      <c r="D82" s="298">
        <f t="shared" si="98"/>
        <v>2123061.1667629513</v>
      </c>
      <c r="E82" s="299">
        <f t="shared" si="99"/>
        <v>3083064.345743285</v>
      </c>
      <c r="F82" s="300">
        <f t="shared" si="100"/>
        <v>960003.17898033361</v>
      </c>
      <c r="G82" s="514">
        <f t="shared" ref="G82:H82" si="125">G22*G72</f>
        <v>1653791.5403357965</v>
      </c>
      <c r="H82" s="515">
        <f t="shared" si="125"/>
        <v>2401600.9586173445</v>
      </c>
      <c r="I82" s="572">
        <f t="shared" si="101"/>
        <v>747809.41828154796</v>
      </c>
      <c r="J82" s="514">
        <f t="shared" ref="J82:K82" si="126">J22*J72</f>
        <v>438827.65307248663</v>
      </c>
      <c r="K82" s="515">
        <f t="shared" si="126"/>
        <v>637256.19981868751</v>
      </c>
      <c r="L82" s="303">
        <f t="shared" si="102"/>
        <v>198428.54674620088</v>
      </c>
      <c r="M82" s="514">
        <f t="shared" ref="M82:N82" si="127">M22*M72</f>
        <v>27356.074685838896</v>
      </c>
      <c r="N82" s="515">
        <f t="shared" si="127"/>
        <v>39725.910785695844</v>
      </c>
      <c r="O82" s="303">
        <f t="shared" si="103"/>
        <v>12369.836099856948</v>
      </c>
      <c r="P82" s="514">
        <f t="shared" ref="P82:Q82" si="128">P22*P72</f>
        <v>3085.8986688293876</v>
      </c>
      <c r="Q82" s="515">
        <f t="shared" si="128"/>
        <v>4481.2765215571535</v>
      </c>
      <c r="R82" s="304">
        <f t="shared" si="104"/>
        <v>1395.3778527277659</v>
      </c>
    </row>
    <row r="83" spans="1:19" x14ac:dyDescent="0.25">
      <c r="A83" s="1296"/>
      <c r="B83" s="1299"/>
      <c r="C83" s="25" t="s">
        <v>32</v>
      </c>
      <c r="D83" s="298">
        <f t="shared" si="98"/>
        <v>2123061.1667629513</v>
      </c>
      <c r="E83" s="299">
        <f t="shared" si="99"/>
        <v>3083064.345743285</v>
      </c>
      <c r="F83" s="300">
        <f t="shared" si="100"/>
        <v>960003.17898033361</v>
      </c>
      <c r="G83" s="514">
        <f t="shared" ref="G83:H83" si="129">G23*G73</f>
        <v>1653791.5403357965</v>
      </c>
      <c r="H83" s="515">
        <f t="shared" si="129"/>
        <v>2401600.9586173445</v>
      </c>
      <c r="I83" s="572">
        <f t="shared" si="101"/>
        <v>747809.41828154796</v>
      </c>
      <c r="J83" s="514">
        <f t="shared" ref="J83:K83" si="130">J23*J73</f>
        <v>438827.65307248663</v>
      </c>
      <c r="K83" s="515">
        <f t="shared" si="130"/>
        <v>637256.19981868751</v>
      </c>
      <c r="L83" s="303">
        <f t="shared" si="102"/>
        <v>198428.54674620088</v>
      </c>
      <c r="M83" s="514">
        <f t="shared" ref="M83:N83" si="131">M23*M73</f>
        <v>27356.074685838896</v>
      </c>
      <c r="N83" s="515">
        <f t="shared" si="131"/>
        <v>39725.910785695844</v>
      </c>
      <c r="O83" s="303">
        <f t="shared" si="103"/>
        <v>12369.836099856948</v>
      </c>
      <c r="P83" s="514">
        <f t="shared" ref="P83:Q83" si="132">P23*P73</f>
        <v>3085.8986688293876</v>
      </c>
      <c r="Q83" s="515">
        <f t="shared" si="132"/>
        <v>4481.2765215571535</v>
      </c>
      <c r="R83" s="304">
        <f t="shared" si="104"/>
        <v>1395.3778527277659</v>
      </c>
    </row>
    <row r="84" spans="1:19" x14ac:dyDescent="0.25">
      <c r="A84" s="1296"/>
      <c r="B84" s="1299"/>
      <c r="C84" s="25" t="s">
        <v>33</v>
      </c>
      <c r="D84" s="298">
        <f t="shared" si="98"/>
        <v>2123061.1667629513</v>
      </c>
      <c r="E84" s="299">
        <f t="shared" si="99"/>
        <v>3083064.345743285</v>
      </c>
      <c r="F84" s="300">
        <f t="shared" si="100"/>
        <v>960003.17898033361</v>
      </c>
      <c r="G84" s="514">
        <f t="shared" ref="G84:H84" si="133">G24*G74</f>
        <v>1653791.5403357965</v>
      </c>
      <c r="H84" s="515">
        <f t="shared" si="133"/>
        <v>2401600.9586173445</v>
      </c>
      <c r="I84" s="572">
        <f t="shared" si="101"/>
        <v>747809.41828154796</v>
      </c>
      <c r="J84" s="514">
        <f t="shared" ref="J84:K84" si="134">J24*J74</f>
        <v>438827.65307248663</v>
      </c>
      <c r="K84" s="515">
        <f t="shared" si="134"/>
        <v>637256.19981868751</v>
      </c>
      <c r="L84" s="303">
        <f t="shared" si="102"/>
        <v>198428.54674620088</v>
      </c>
      <c r="M84" s="514">
        <f t="shared" ref="M84:N84" si="135">M24*M74</f>
        <v>27356.074685838896</v>
      </c>
      <c r="N84" s="515">
        <f t="shared" si="135"/>
        <v>39725.910785695844</v>
      </c>
      <c r="O84" s="303">
        <f t="shared" si="103"/>
        <v>12369.836099856948</v>
      </c>
      <c r="P84" s="514">
        <f t="shared" ref="P84:Q84" si="136">P24*P74</f>
        <v>3085.8986688293876</v>
      </c>
      <c r="Q84" s="515">
        <f t="shared" si="136"/>
        <v>4481.2765215571535</v>
      </c>
      <c r="R84" s="304">
        <f t="shared" si="104"/>
        <v>1395.3778527277659</v>
      </c>
    </row>
    <row r="85" spans="1:19" s="337" customFormat="1" ht="15.75" thickBot="1" x14ac:dyDescent="0.3">
      <c r="A85" s="1297"/>
      <c r="B85" s="1300"/>
      <c r="C85" s="305" t="s">
        <v>34</v>
      </c>
      <c r="D85" s="306">
        <f t="shared" si="98"/>
        <v>2123061.1667629513</v>
      </c>
      <c r="E85" s="307">
        <f t="shared" si="99"/>
        <v>3083064.345743285</v>
      </c>
      <c r="F85" s="308">
        <f t="shared" si="100"/>
        <v>960003.17898033361</v>
      </c>
      <c r="G85" s="516">
        <f t="shared" ref="G85:H85" si="137">G25*G75</f>
        <v>1653791.5403357965</v>
      </c>
      <c r="H85" s="517">
        <f t="shared" si="137"/>
        <v>2401600.9586173445</v>
      </c>
      <c r="I85" s="573">
        <f t="shared" si="101"/>
        <v>747809.41828154796</v>
      </c>
      <c r="J85" s="516">
        <f t="shared" ref="J85:K85" si="138">J25*J75</f>
        <v>438827.65307248663</v>
      </c>
      <c r="K85" s="517">
        <f t="shared" si="138"/>
        <v>637256.19981868751</v>
      </c>
      <c r="L85" s="311">
        <f t="shared" si="102"/>
        <v>198428.54674620088</v>
      </c>
      <c r="M85" s="516">
        <f t="shared" ref="M85:N85" si="139">M25*M75</f>
        <v>27356.074685838896</v>
      </c>
      <c r="N85" s="517">
        <f t="shared" si="139"/>
        <v>39725.910785695844</v>
      </c>
      <c r="O85" s="311">
        <f t="shared" si="103"/>
        <v>12369.836099856948</v>
      </c>
      <c r="P85" s="516">
        <f t="shared" ref="P85:Q85" si="140">P25*P75</f>
        <v>3085.8986688293876</v>
      </c>
      <c r="Q85" s="517">
        <f t="shared" si="140"/>
        <v>4481.2765215571535</v>
      </c>
      <c r="R85" s="312">
        <f t="shared" si="104"/>
        <v>1395.3778527277659</v>
      </c>
      <c r="S85" s="336"/>
    </row>
    <row r="86" spans="1:19" ht="15.75" thickBot="1" x14ac:dyDescent="0.3">
      <c r="A86" s="338"/>
      <c r="B86" s="339"/>
      <c r="C86" s="340"/>
      <c r="D86" s="339"/>
      <c r="E86" s="339"/>
      <c r="F86" s="341" t="s">
        <v>103</v>
      </c>
      <c r="G86" s="342"/>
      <c r="H86" s="342"/>
      <c r="I86" s="343"/>
      <c r="J86" s="342"/>
      <c r="K86" s="342"/>
      <c r="L86" s="343"/>
      <c r="M86" s="342"/>
      <c r="N86" s="342"/>
      <c r="O86" s="343"/>
      <c r="P86" s="342"/>
      <c r="Q86" s="344"/>
      <c r="R86" s="345"/>
    </row>
    <row r="87" spans="1:19" x14ac:dyDescent="0.25">
      <c r="A87" s="1282" t="s">
        <v>268</v>
      </c>
      <c r="B87" s="1284" t="s">
        <v>37</v>
      </c>
      <c r="C87" s="346" t="s">
        <v>25</v>
      </c>
      <c r="D87" s="347">
        <f t="shared" ref="D87:D126" si="141">G87+J87+M87+P87</f>
        <v>11200</v>
      </c>
      <c r="E87" s="348">
        <f t="shared" ref="E87:E126" si="142">H87+K87+N87+Q87</f>
        <v>11200</v>
      </c>
      <c r="F87" s="349">
        <f t="shared" ref="F87:F126" si="143">I87+L87+O87+R87</f>
        <v>0</v>
      </c>
      <c r="G87" s="350">
        <f t="shared" ref="G87:G96" si="144">G6</f>
        <v>2800</v>
      </c>
      <c r="H87" s="351">
        <f t="shared" ref="H87:H96" si="145">H6*(1+$S$87)</f>
        <v>2800</v>
      </c>
      <c r="I87" s="352">
        <f>H87-G87</f>
        <v>0</v>
      </c>
      <c r="J87" s="351">
        <f t="shared" ref="J87:J96" si="146">J6</f>
        <v>2800</v>
      </c>
      <c r="K87" s="351">
        <f t="shared" ref="K87:K96" si="147">K6*(1+$S$87)</f>
        <v>2800</v>
      </c>
      <c r="L87" s="352">
        <f t="shared" ref="L87:L96" si="148">K87-J87</f>
        <v>0</v>
      </c>
      <c r="M87" s="351">
        <f t="shared" ref="M87:M96" si="149">M6</f>
        <v>2800</v>
      </c>
      <c r="N87" s="351">
        <f t="shared" ref="N87:N96" si="150">N6*(1+$S$87)</f>
        <v>2800</v>
      </c>
      <c r="O87" s="352">
        <f t="shared" ref="O87:O96" si="151">N87-M87</f>
        <v>0</v>
      </c>
      <c r="P87" s="351">
        <f t="shared" ref="P87:P96" si="152">P6</f>
        <v>2800</v>
      </c>
      <c r="Q87" s="353">
        <f t="shared" ref="Q87:Q96" si="153">Q6*(1+$S$87)</f>
        <v>2800</v>
      </c>
      <c r="R87" s="354">
        <f t="shared" ref="R87:R96" si="154">Q87-P87</f>
        <v>0</v>
      </c>
      <c r="S87" s="355">
        <f>'Analyza citlivosti - AgendovéIS'!K7</f>
        <v>0</v>
      </c>
    </row>
    <row r="88" spans="1:19" x14ac:dyDescent="0.25">
      <c r="A88" s="1282"/>
      <c r="B88" s="1284"/>
      <c r="C88" s="346" t="s">
        <v>26</v>
      </c>
      <c r="D88" s="347">
        <f t="shared" si="141"/>
        <v>11200</v>
      </c>
      <c r="E88" s="348">
        <f t="shared" si="142"/>
        <v>11200</v>
      </c>
      <c r="F88" s="349">
        <f t="shared" si="143"/>
        <v>0</v>
      </c>
      <c r="G88" s="356">
        <f t="shared" si="144"/>
        <v>2800</v>
      </c>
      <c r="H88" s="357">
        <f t="shared" si="145"/>
        <v>2800</v>
      </c>
      <c r="I88" s="303">
        <f t="shared" ref="I88:I96" si="155">H88-G88</f>
        <v>0</v>
      </c>
      <c r="J88" s="357">
        <f t="shared" si="146"/>
        <v>2800</v>
      </c>
      <c r="K88" s="357">
        <f t="shared" si="147"/>
        <v>2800</v>
      </c>
      <c r="L88" s="303">
        <f t="shared" si="148"/>
        <v>0</v>
      </c>
      <c r="M88" s="357">
        <f t="shared" si="149"/>
        <v>2800</v>
      </c>
      <c r="N88" s="357">
        <f t="shared" si="150"/>
        <v>2800</v>
      </c>
      <c r="O88" s="303">
        <f t="shared" si="151"/>
        <v>0</v>
      </c>
      <c r="P88" s="357">
        <f t="shared" si="152"/>
        <v>2800</v>
      </c>
      <c r="Q88" s="358">
        <f t="shared" si="153"/>
        <v>2800</v>
      </c>
      <c r="R88" s="304">
        <f t="shared" si="154"/>
        <v>0</v>
      </c>
    </row>
    <row r="89" spans="1:19" x14ac:dyDescent="0.25">
      <c r="A89" s="1282"/>
      <c r="B89" s="1284"/>
      <c r="C89" s="346" t="s">
        <v>27</v>
      </c>
      <c r="D89" s="347">
        <f t="shared" si="141"/>
        <v>11200</v>
      </c>
      <c r="E89" s="348">
        <f t="shared" si="142"/>
        <v>11200</v>
      </c>
      <c r="F89" s="349">
        <f t="shared" si="143"/>
        <v>0</v>
      </c>
      <c r="G89" s="356">
        <f t="shared" si="144"/>
        <v>2800</v>
      </c>
      <c r="H89" s="357">
        <f t="shared" si="145"/>
        <v>2800</v>
      </c>
      <c r="I89" s="303">
        <f t="shared" si="155"/>
        <v>0</v>
      </c>
      <c r="J89" s="357">
        <f t="shared" si="146"/>
        <v>2800</v>
      </c>
      <c r="K89" s="357">
        <f t="shared" si="147"/>
        <v>2800</v>
      </c>
      <c r="L89" s="303">
        <f t="shared" si="148"/>
        <v>0</v>
      </c>
      <c r="M89" s="357">
        <f t="shared" si="149"/>
        <v>2800</v>
      </c>
      <c r="N89" s="357">
        <f t="shared" si="150"/>
        <v>2800</v>
      </c>
      <c r="O89" s="303">
        <f t="shared" si="151"/>
        <v>0</v>
      </c>
      <c r="P89" s="357">
        <f t="shared" si="152"/>
        <v>2800</v>
      </c>
      <c r="Q89" s="358">
        <f t="shared" si="153"/>
        <v>2800</v>
      </c>
      <c r="R89" s="304">
        <f t="shared" si="154"/>
        <v>0</v>
      </c>
    </row>
    <row r="90" spans="1:19" x14ac:dyDescent="0.25">
      <c r="A90" s="1282"/>
      <c r="B90" s="1284"/>
      <c r="C90" s="346" t="s">
        <v>28</v>
      </c>
      <c r="D90" s="347">
        <f t="shared" si="141"/>
        <v>11200</v>
      </c>
      <c r="E90" s="348">
        <f t="shared" si="142"/>
        <v>14144.221182908792</v>
      </c>
      <c r="F90" s="349">
        <f t="shared" si="143"/>
        <v>2944.2211829087919</v>
      </c>
      <c r="G90" s="356">
        <f t="shared" si="144"/>
        <v>2800</v>
      </c>
      <c r="H90" s="357">
        <f t="shared" si="145"/>
        <v>3536.055295727198</v>
      </c>
      <c r="I90" s="303">
        <f t="shared" si="155"/>
        <v>736.05529572719797</v>
      </c>
      <c r="J90" s="357">
        <f t="shared" si="146"/>
        <v>2800</v>
      </c>
      <c r="K90" s="357">
        <f t="shared" si="147"/>
        <v>3536.055295727198</v>
      </c>
      <c r="L90" s="303">
        <f t="shared" si="148"/>
        <v>736.05529572719797</v>
      </c>
      <c r="M90" s="357">
        <f t="shared" si="149"/>
        <v>2800</v>
      </c>
      <c r="N90" s="357">
        <f t="shared" si="150"/>
        <v>3536.055295727198</v>
      </c>
      <c r="O90" s="303">
        <f t="shared" si="151"/>
        <v>736.05529572719797</v>
      </c>
      <c r="P90" s="357">
        <f t="shared" si="152"/>
        <v>2800</v>
      </c>
      <c r="Q90" s="358">
        <f t="shared" si="153"/>
        <v>3536.055295727198</v>
      </c>
      <c r="R90" s="304">
        <f t="shared" si="154"/>
        <v>736.05529572719797</v>
      </c>
    </row>
    <row r="91" spans="1:19" x14ac:dyDescent="0.25">
      <c r="A91" s="1282"/>
      <c r="B91" s="1284"/>
      <c r="C91" s="346" t="s">
        <v>29</v>
      </c>
      <c r="D91" s="347">
        <f t="shared" si="141"/>
        <v>11200</v>
      </c>
      <c r="E91" s="348">
        <f t="shared" si="142"/>
        <v>14144.221182908792</v>
      </c>
      <c r="F91" s="349">
        <f t="shared" si="143"/>
        <v>2944.2211829087919</v>
      </c>
      <c r="G91" s="356">
        <f t="shared" si="144"/>
        <v>2800</v>
      </c>
      <c r="H91" s="357">
        <f t="shared" si="145"/>
        <v>3536.055295727198</v>
      </c>
      <c r="I91" s="303">
        <f t="shared" si="155"/>
        <v>736.05529572719797</v>
      </c>
      <c r="J91" s="357">
        <f t="shared" si="146"/>
        <v>2800</v>
      </c>
      <c r="K91" s="357">
        <f t="shared" si="147"/>
        <v>3536.055295727198</v>
      </c>
      <c r="L91" s="303">
        <f t="shared" si="148"/>
        <v>736.05529572719797</v>
      </c>
      <c r="M91" s="357">
        <f t="shared" si="149"/>
        <v>2800</v>
      </c>
      <c r="N91" s="357">
        <f t="shared" si="150"/>
        <v>3536.055295727198</v>
      </c>
      <c r="O91" s="303">
        <f t="shared" si="151"/>
        <v>736.05529572719797</v>
      </c>
      <c r="P91" s="357">
        <f t="shared" si="152"/>
        <v>2800</v>
      </c>
      <c r="Q91" s="358">
        <f t="shared" si="153"/>
        <v>3536.055295727198</v>
      </c>
      <c r="R91" s="304">
        <f t="shared" si="154"/>
        <v>736.05529572719797</v>
      </c>
    </row>
    <row r="92" spans="1:19" x14ac:dyDescent="0.25">
      <c r="A92" s="1282"/>
      <c r="B92" s="1284"/>
      <c r="C92" s="346" t="s">
        <v>30</v>
      </c>
      <c r="D92" s="347">
        <f t="shared" si="141"/>
        <v>11200</v>
      </c>
      <c r="E92" s="348">
        <f t="shared" si="142"/>
        <v>14144.221182908792</v>
      </c>
      <c r="F92" s="349">
        <f t="shared" si="143"/>
        <v>2944.2211829087919</v>
      </c>
      <c r="G92" s="356">
        <f t="shared" si="144"/>
        <v>2800</v>
      </c>
      <c r="H92" s="357">
        <f t="shared" si="145"/>
        <v>3536.055295727198</v>
      </c>
      <c r="I92" s="303">
        <f t="shared" si="155"/>
        <v>736.05529572719797</v>
      </c>
      <c r="J92" s="357">
        <f t="shared" si="146"/>
        <v>2800</v>
      </c>
      <c r="K92" s="357">
        <f t="shared" si="147"/>
        <v>3536.055295727198</v>
      </c>
      <c r="L92" s="303">
        <f t="shared" si="148"/>
        <v>736.05529572719797</v>
      </c>
      <c r="M92" s="357">
        <f t="shared" si="149"/>
        <v>2800</v>
      </c>
      <c r="N92" s="357">
        <f t="shared" si="150"/>
        <v>3536.055295727198</v>
      </c>
      <c r="O92" s="303">
        <f t="shared" si="151"/>
        <v>736.05529572719797</v>
      </c>
      <c r="P92" s="357">
        <f t="shared" si="152"/>
        <v>2800</v>
      </c>
      <c r="Q92" s="358">
        <f t="shared" si="153"/>
        <v>3536.055295727198</v>
      </c>
      <c r="R92" s="304">
        <f t="shared" si="154"/>
        <v>736.05529572719797</v>
      </c>
    </row>
    <row r="93" spans="1:19" x14ac:dyDescent="0.25">
      <c r="A93" s="1282"/>
      <c r="B93" s="1284"/>
      <c r="C93" s="346" t="s">
        <v>31</v>
      </c>
      <c r="D93" s="347">
        <f t="shared" si="141"/>
        <v>11200</v>
      </c>
      <c r="E93" s="348">
        <f t="shared" si="142"/>
        <v>14144.221182908792</v>
      </c>
      <c r="F93" s="349">
        <f t="shared" si="143"/>
        <v>2944.2211829087919</v>
      </c>
      <c r="G93" s="356">
        <f t="shared" si="144"/>
        <v>2800</v>
      </c>
      <c r="H93" s="357">
        <f t="shared" si="145"/>
        <v>3536.055295727198</v>
      </c>
      <c r="I93" s="303">
        <f t="shared" si="155"/>
        <v>736.05529572719797</v>
      </c>
      <c r="J93" s="357">
        <f t="shared" si="146"/>
        <v>2800</v>
      </c>
      <c r="K93" s="357">
        <f t="shared" si="147"/>
        <v>3536.055295727198</v>
      </c>
      <c r="L93" s="303">
        <f t="shared" si="148"/>
        <v>736.05529572719797</v>
      </c>
      <c r="M93" s="357">
        <f t="shared" si="149"/>
        <v>2800</v>
      </c>
      <c r="N93" s="357">
        <f t="shared" si="150"/>
        <v>3536.055295727198</v>
      </c>
      <c r="O93" s="303">
        <f t="shared" si="151"/>
        <v>736.05529572719797</v>
      </c>
      <c r="P93" s="357">
        <f t="shared" si="152"/>
        <v>2800</v>
      </c>
      <c r="Q93" s="358">
        <f t="shared" si="153"/>
        <v>3536.055295727198</v>
      </c>
      <c r="R93" s="304">
        <f t="shared" si="154"/>
        <v>736.05529572719797</v>
      </c>
    </row>
    <row r="94" spans="1:19" x14ac:dyDescent="0.25">
      <c r="A94" s="1282"/>
      <c r="B94" s="1284"/>
      <c r="C94" s="346" t="s">
        <v>32</v>
      </c>
      <c r="D94" s="347">
        <f t="shared" si="141"/>
        <v>11200</v>
      </c>
      <c r="E94" s="348">
        <f t="shared" si="142"/>
        <v>14144.221182908792</v>
      </c>
      <c r="F94" s="349">
        <f t="shared" si="143"/>
        <v>2944.2211829087919</v>
      </c>
      <c r="G94" s="356">
        <f t="shared" si="144"/>
        <v>2800</v>
      </c>
      <c r="H94" s="357">
        <f t="shared" si="145"/>
        <v>3536.055295727198</v>
      </c>
      <c r="I94" s="303">
        <f t="shared" si="155"/>
        <v>736.05529572719797</v>
      </c>
      <c r="J94" s="357">
        <f t="shared" si="146"/>
        <v>2800</v>
      </c>
      <c r="K94" s="357">
        <f t="shared" si="147"/>
        <v>3536.055295727198</v>
      </c>
      <c r="L94" s="303">
        <f t="shared" si="148"/>
        <v>736.05529572719797</v>
      </c>
      <c r="M94" s="357">
        <f t="shared" si="149"/>
        <v>2800</v>
      </c>
      <c r="N94" s="357">
        <f t="shared" si="150"/>
        <v>3536.055295727198</v>
      </c>
      <c r="O94" s="303">
        <f t="shared" si="151"/>
        <v>736.05529572719797</v>
      </c>
      <c r="P94" s="357">
        <f t="shared" si="152"/>
        <v>2800</v>
      </c>
      <c r="Q94" s="358">
        <f t="shared" si="153"/>
        <v>3536.055295727198</v>
      </c>
      <c r="R94" s="304">
        <f t="shared" si="154"/>
        <v>736.05529572719797</v>
      </c>
    </row>
    <row r="95" spans="1:19" x14ac:dyDescent="0.25">
      <c r="A95" s="1282"/>
      <c r="B95" s="1284"/>
      <c r="C95" s="346" t="s">
        <v>33</v>
      </c>
      <c r="D95" s="347">
        <f t="shared" si="141"/>
        <v>11200</v>
      </c>
      <c r="E95" s="348">
        <f t="shared" si="142"/>
        <v>14144.221182908792</v>
      </c>
      <c r="F95" s="349">
        <f t="shared" si="143"/>
        <v>2944.2211829087919</v>
      </c>
      <c r="G95" s="356">
        <f t="shared" si="144"/>
        <v>2800</v>
      </c>
      <c r="H95" s="357">
        <f t="shared" si="145"/>
        <v>3536.055295727198</v>
      </c>
      <c r="I95" s="303">
        <f t="shared" si="155"/>
        <v>736.05529572719797</v>
      </c>
      <c r="J95" s="357">
        <f t="shared" si="146"/>
        <v>2800</v>
      </c>
      <c r="K95" s="357">
        <f t="shared" si="147"/>
        <v>3536.055295727198</v>
      </c>
      <c r="L95" s="303">
        <f t="shared" si="148"/>
        <v>736.05529572719797</v>
      </c>
      <c r="M95" s="357">
        <f t="shared" si="149"/>
        <v>2800</v>
      </c>
      <c r="N95" s="357">
        <f t="shared" si="150"/>
        <v>3536.055295727198</v>
      </c>
      <c r="O95" s="303">
        <f t="shared" si="151"/>
        <v>736.05529572719797</v>
      </c>
      <c r="P95" s="357">
        <f t="shared" si="152"/>
        <v>2800</v>
      </c>
      <c r="Q95" s="358">
        <f t="shared" si="153"/>
        <v>3536.055295727198</v>
      </c>
      <c r="R95" s="304">
        <f t="shared" si="154"/>
        <v>736.05529572719797</v>
      </c>
    </row>
    <row r="96" spans="1:19" ht="15.75" thickBot="1" x14ac:dyDescent="0.3">
      <c r="A96" s="1283"/>
      <c r="B96" s="1285"/>
      <c r="C96" s="359" t="s">
        <v>34</v>
      </c>
      <c r="D96" s="360">
        <f t="shared" si="141"/>
        <v>11200</v>
      </c>
      <c r="E96" s="361">
        <f t="shared" si="142"/>
        <v>14144.221182908792</v>
      </c>
      <c r="F96" s="362">
        <f t="shared" si="143"/>
        <v>2944.2211829087919</v>
      </c>
      <c r="G96" s="363">
        <f t="shared" si="144"/>
        <v>2800</v>
      </c>
      <c r="H96" s="364">
        <f t="shared" si="145"/>
        <v>3536.055295727198</v>
      </c>
      <c r="I96" s="311">
        <f t="shared" si="155"/>
        <v>736.05529572719797</v>
      </c>
      <c r="J96" s="364">
        <f t="shared" si="146"/>
        <v>2800</v>
      </c>
      <c r="K96" s="364">
        <f t="shared" si="147"/>
        <v>3536.055295727198</v>
      </c>
      <c r="L96" s="311">
        <f t="shared" si="148"/>
        <v>736.05529572719797</v>
      </c>
      <c r="M96" s="364">
        <f t="shared" si="149"/>
        <v>2800</v>
      </c>
      <c r="N96" s="364">
        <f t="shared" si="150"/>
        <v>3536.055295727198</v>
      </c>
      <c r="O96" s="311">
        <f t="shared" si="151"/>
        <v>736.05529572719797</v>
      </c>
      <c r="P96" s="364">
        <f t="shared" si="152"/>
        <v>2800</v>
      </c>
      <c r="Q96" s="365">
        <f t="shared" si="153"/>
        <v>3536.055295727198</v>
      </c>
      <c r="R96" s="312">
        <f t="shared" si="154"/>
        <v>736.05529572719797</v>
      </c>
    </row>
    <row r="97" spans="1:18" x14ac:dyDescent="0.25">
      <c r="A97" s="1282" t="s">
        <v>178</v>
      </c>
      <c r="B97" s="1284" t="s">
        <v>13</v>
      </c>
      <c r="C97" s="346" t="s">
        <v>25</v>
      </c>
      <c r="D97" s="347">
        <f t="shared" si="141"/>
        <v>3125861.2821734836</v>
      </c>
      <c r="E97" s="348">
        <f t="shared" si="142"/>
        <v>3125861.2821734836</v>
      </c>
      <c r="F97" s="349">
        <f t="shared" si="143"/>
        <v>0</v>
      </c>
      <c r="G97" s="366">
        <f>H87*G46*Faktory!$D$8</f>
        <v>2284411.9342850544</v>
      </c>
      <c r="H97" s="367">
        <f>H87*H46*Faktory!$D$8*(1+$S$46)</f>
        <v>2284411.9342850544</v>
      </c>
      <c r="I97" s="295">
        <f>H97-G97</f>
        <v>0</v>
      </c>
      <c r="J97" s="367">
        <f>K87*J46*Faktory!$D$8</f>
        <v>799399.30376952456</v>
      </c>
      <c r="K97" s="367">
        <f>K87*K46*Faktory!$D$8*(1+$S$46)</f>
        <v>799399.30376952456</v>
      </c>
      <c r="L97" s="295">
        <f>K97-J97</f>
        <v>0</v>
      </c>
      <c r="M97" s="367">
        <f>N87*M46*Faktory!$D$8</f>
        <v>37787.436906851486</v>
      </c>
      <c r="N97" s="367">
        <f>N87*N46*Faktory!$D$8*(1+$S$46)</f>
        <v>37787.436906851486</v>
      </c>
      <c r="O97" s="295">
        <f>N97-M97</f>
        <v>0</v>
      </c>
      <c r="P97" s="367">
        <f>Q87*P46*Faktory!$D$8</f>
        <v>4262.6072120533681</v>
      </c>
      <c r="Q97" s="368">
        <f>Q87*Q46*Faktory!$D$8*(1+$S$46)</f>
        <v>4262.6072120533681</v>
      </c>
      <c r="R97" s="369">
        <f>Q97-P97</f>
        <v>0</v>
      </c>
    </row>
    <row r="98" spans="1:18" x14ac:dyDescent="0.25">
      <c r="A98" s="1282"/>
      <c r="B98" s="1284"/>
      <c r="C98" s="346" t="s">
        <v>26</v>
      </c>
      <c r="D98" s="347">
        <f t="shared" si="141"/>
        <v>3125861.2821734836</v>
      </c>
      <c r="E98" s="348">
        <f t="shared" si="142"/>
        <v>3125861.2821734836</v>
      </c>
      <c r="F98" s="349">
        <f t="shared" si="143"/>
        <v>0</v>
      </c>
      <c r="G98" s="356">
        <f>H88*G47*Faktory!$D$8</f>
        <v>2284411.9342850544</v>
      </c>
      <c r="H98" s="357">
        <f>H88*H47*Faktory!$D$8*(1+$S$46)</f>
        <v>2284411.9342850544</v>
      </c>
      <c r="I98" s="303">
        <f t="shared" ref="I98:I116" si="156">H98-G98</f>
        <v>0</v>
      </c>
      <c r="J98" s="357">
        <f>K88*J47*Faktory!$D$8</f>
        <v>799399.30376952456</v>
      </c>
      <c r="K98" s="357">
        <f>K88*K47*Faktory!$D$8*(1+$S$46)</f>
        <v>799399.30376952456</v>
      </c>
      <c r="L98" s="303">
        <f t="shared" ref="L98:L116" si="157">K98-J98</f>
        <v>0</v>
      </c>
      <c r="M98" s="357">
        <f>N88*M47*Faktory!$D$8</f>
        <v>37787.436906851486</v>
      </c>
      <c r="N98" s="357">
        <f>N88*N47*Faktory!$D$8*(1+$S$46)</f>
        <v>37787.436906851486</v>
      </c>
      <c r="O98" s="303">
        <f t="shared" ref="O98:O116" si="158">N98-M98</f>
        <v>0</v>
      </c>
      <c r="P98" s="357">
        <f>Q88*P47*Faktory!$D$8</f>
        <v>4262.6072120533681</v>
      </c>
      <c r="Q98" s="358">
        <f>Q88*Q47*Faktory!$D$8*(1+$S$46)</f>
        <v>4262.6072120533681</v>
      </c>
      <c r="R98" s="304">
        <f t="shared" ref="R98:R116" si="159">Q98-P98</f>
        <v>0</v>
      </c>
    </row>
    <row r="99" spans="1:18" x14ac:dyDescent="0.25">
      <c r="A99" s="1282"/>
      <c r="B99" s="1284"/>
      <c r="C99" s="346" t="s">
        <v>27</v>
      </c>
      <c r="D99" s="347">
        <f t="shared" si="141"/>
        <v>3125861.2821734836</v>
      </c>
      <c r="E99" s="348">
        <f t="shared" si="142"/>
        <v>3125861.2821734836</v>
      </c>
      <c r="F99" s="349">
        <f t="shared" si="143"/>
        <v>0</v>
      </c>
      <c r="G99" s="356">
        <f>H89*G48*Faktory!$D$8</f>
        <v>2284411.9342850544</v>
      </c>
      <c r="H99" s="357">
        <f>H89*H48*Faktory!$D$8*(1+$S$46)</f>
        <v>2284411.9342850544</v>
      </c>
      <c r="I99" s="303">
        <f t="shared" si="156"/>
        <v>0</v>
      </c>
      <c r="J99" s="357">
        <f>K89*J48*Faktory!$D$8</f>
        <v>799399.30376952456</v>
      </c>
      <c r="K99" s="357">
        <f>K89*K48*Faktory!$D$8*(1+$S$46)</f>
        <v>799399.30376952456</v>
      </c>
      <c r="L99" s="303">
        <f t="shared" si="157"/>
        <v>0</v>
      </c>
      <c r="M99" s="357">
        <f>N89*M48*Faktory!$D$8</f>
        <v>37787.436906851486</v>
      </c>
      <c r="N99" s="357">
        <f>N89*N48*Faktory!$D$8*(1+$S$46)</f>
        <v>37787.436906851486</v>
      </c>
      <c r="O99" s="303">
        <f t="shared" si="158"/>
        <v>0</v>
      </c>
      <c r="P99" s="357">
        <f>Q89*P48*Faktory!$D$8</f>
        <v>4262.6072120533681</v>
      </c>
      <c r="Q99" s="358">
        <f>Q89*Q48*Faktory!$D$8*(1+$S$46)</f>
        <v>4262.6072120533681</v>
      </c>
      <c r="R99" s="304">
        <f t="shared" si="159"/>
        <v>0</v>
      </c>
    </row>
    <row r="100" spans="1:18" x14ac:dyDescent="0.25">
      <c r="A100" s="1282"/>
      <c r="B100" s="1284"/>
      <c r="C100" s="346" t="s">
        <v>28</v>
      </c>
      <c r="D100" s="347">
        <f t="shared" si="141"/>
        <v>3947577.9787636278</v>
      </c>
      <c r="E100" s="348">
        <f t="shared" si="142"/>
        <v>2932622.4909734838</v>
      </c>
      <c r="F100" s="349">
        <f t="shared" si="143"/>
        <v>-1014955.4877901431</v>
      </c>
      <c r="G100" s="356">
        <f>H90*G49*Faktory!$D$8</f>
        <v>2884931.0420896709</v>
      </c>
      <c r="H100" s="357">
        <f>H90*H49*Faktory!$D$8*(1+$S$46)</f>
        <v>2284411.9342850549</v>
      </c>
      <c r="I100" s="303">
        <f t="shared" si="156"/>
        <v>-600519.10780461598</v>
      </c>
      <c r="J100" s="357">
        <f>K90*J49*Faktory!$D$8</f>
        <v>1009542.9076767366</v>
      </c>
      <c r="K100" s="357">
        <f>K90*K49*Faktory!$D$8*(1+$S$46)</f>
        <v>606160.51256952458</v>
      </c>
      <c r="L100" s="303">
        <f t="shared" si="157"/>
        <v>-403382.39510721201</v>
      </c>
      <c r="M100" s="357">
        <f>N90*M49*Faktory!$D$8</f>
        <v>47720.880852296272</v>
      </c>
      <c r="N100" s="357">
        <f>N90*N49*Faktory!$D$8*(1+$S$46)</f>
        <v>37787.436906851493</v>
      </c>
      <c r="O100" s="303">
        <f t="shared" si="158"/>
        <v>-9933.4439454447784</v>
      </c>
      <c r="P100" s="357">
        <f>Q90*P49*Faktory!$D$8</f>
        <v>5383.1481449236653</v>
      </c>
      <c r="Q100" s="358">
        <f>Q90*Q49*Faktory!$D$8*(1+$S$46)</f>
        <v>4262.607212053369</v>
      </c>
      <c r="R100" s="304">
        <f t="shared" si="159"/>
        <v>-1120.5409328702963</v>
      </c>
    </row>
    <row r="101" spans="1:18" x14ac:dyDescent="0.25">
      <c r="A101" s="1282"/>
      <c r="B101" s="1284"/>
      <c r="C101" s="346" t="s">
        <v>29</v>
      </c>
      <c r="D101" s="347">
        <f t="shared" si="141"/>
        <v>3947577.9787636278</v>
      </c>
      <c r="E101" s="348">
        <f t="shared" si="142"/>
        <v>2932622.4909734838</v>
      </c>
      <c r="F101" s="349">
        <f t="shared" si="143"/>
        <v>-1014955.4877901431</v>
      </c>
      <c r="G101" s="356">
        <f>H91*G50*Faktory!$D$8</f>
        <v>2884931.0420896709</v>
      </c>
      <c r="H101" s="357">
        <f>H91*H50*Faktory!$D$8*(1+$S$46)</f>
        <v>2284411.9342850549</v>
      </c>
      <c r="I101" s="303">
        <f t="shared" si="156"/>
        <v>-600519.10780461598</v>
      </c>
      <c r="J101" s="357">
        <f>K91*J50*Faktory!$D$8</f>
        <v>1009542.9076767366</v>
      </c>
      <c r="K101" s="357">
        <f>K91*K50*Faktory!$D$8*(1+$S$46)</f>
        <v>606160.51256952458</v>
      </c>
      <c r="L101" s="303">
        <f t="shared" si="157"/>
        <v>-403382.39510721201</v>
      </c>
      <c r="M101" s="357">
        <f>N91*M50*Faktory!$D$8</f>
        <v>47720.880852296272</v>
      </c>
      <c r="N101" s="357">
        <f>N91*N50*Faktory!$D$8*(1+$S$46)</f>
        <v>37787.436906851493</v>
      </c>
      <c r="O101" s="303">
        <f t="shared" si="158"/>
        <v>-9933.4439454447784</v>
      </c>
      <c r="P101" s="357">
        <f>Q91*P50*Faktory!$D$8</f>
        <v>5383.1481449236653</v>
      </c>
      <c r="Q101" s="358">
        <f>Q91*Q50*Faktory!$D$8*(1+$S$46)</f>
        <v>4262.607212053369</v>
      </c>
      <c r="R101" s="304">
        <f t="shared" si="159"/>
        <v>-1120.5409328702963</v>
      </c>
    </row>
    <row r="102" spans="1:18" x14ac:dyDescent="0.25">
      <c r="A102" s="1282"/>
      <c r="B102" s="1284"/>
      <c r="C102" s="346" t="s">
        <v>30</v>
      </c>
      <c r="D102" s="347">
        <f t="shared" si="141"/>
        <v>3947577.9787636278</v>
      </c>
      <c r="E102" s="348">
        <f t="shared" si="142"/>
        <v>2932622.4909734838</v>
      </c>
      <c r="F102" s="349">
        <f t="shared" si="143"/>
        <v>-1014955.4877901431</v>
      </c>
      <c r="G102" s="356">
        <f>H92*G51*Faktory!$D$8</f>
        <v>2884931.0420896709</v>
      </c>
      <c r="H102" s="357">
        <f>H92*H51*Faktory!$D$8*(1+$S$46)</f>
        <v>2284411.9342850549</v>
      </c>
      <c r="I102" s="303">
        <f t="shared" si="156"/>
        <v>-600519.10780461598</v>
      </c>
      <c r="J102" s="357">
        <f>K92*J51*Faktory!$D$8</f>
        <v>1009542.9076767366</v>
      </c>
      <c r="K102" s="357">
        <f>K92*K51*Faktory!$D$8*(1+$S$46)</f>
        <v>606160.51256952458</v>
      </c>
      <c r="L102" s="303">
        <f t="shared" si="157"/>
        <v>-403382.39510721201</v>
      </c>
      <c r="M102" s="357">
        <f>N92*M51*Faktory!$D$8</f>
        <v>47720.880852296272</v>
      </c>
      <c r="N102" s="357">
        <f>N92*N51*Faktory!$D$8*(1+$S$46)</f>
        <v>37787.436906851493</v>
      </c>
      <c r="O102" s="303">
        <f t="shared" si="158"/>
        <v>-9933.4439454447784</v>
      </c>
      <c r="P102" s="357">
        <f>Q92*P51*Faktory!$D$8</f>
        <v>5383.1481449236653</v>
      </c>
      <c r="Q102" s="358">
        <f>Q92*Q51*Faktory!$D$8*(1+$S$46)</f>
        <v>4262.607212053369</v>
      </c>
      <c r="R102" s="304">
        <f t="shared" si="159"/>
        <v>-1120.5409328702963</v>
      </c>
    </row>
    <row r="103" spans="1:18" x14ac:dyDescent="0.25">
      <c r="A103" s="1282"/>
      <c r="B103" s="1284"/>
      <c r="C103" s="346" t="s">
        <v>31</v>
      </c>
      <c r="D103" s="347">
        <f t="shared" si="141"/>
        <v>3947577.9787636278</v>
      </c>
      <c r="E103" s="348">
        <f t="shared" si="142"/>
        <v>2932622.4909734838</v>
      </c>
      <c r="F103" s="349">
        <f t="shared" si="143"/>
        <v>-1014955.4877901431</v>
      </c>
      <c r="G103" s="356">
        <f>H93*G52*Faktory!$D$8</f>
        <v>2884931.0420896709</v>
      </c>
      <c r="H103" s="357">
        <f>H93*H52*Faktory!$D$8*(1+$S$46)</f>
        <v>2284411.9342850549</v>
      </c>
      <c r="I103" s="303">
        <f t="shared" si="156"/>
        <v>-600519.10780461598</v>
      </c>
      <c r="J103" s="357">
        <f>K93*J52*Faktory!$D$8</f>
        <v>1009542.9076767366</v>
      </c>
      <c r="K103" s="357">
        <f>K93*K52*Faktory!$D$8*(1+$S$46)</f>
        <v>606160.51256952458</v>
      </c>
      <c r="L103" s="303">
        <f t="shared" si="157"/>
        <v>-403382.39510721201</v>
      </c>
      <c r="M103" s="357">
        <f>N93*M52*Faktory!$D$8</f>
        <v>47720.880852296272</v>
      </c>
      <c r="N103" s="357">
        <f>N93*N52*Faktory!$D$8*(1+$S$46)</f>
        <v>37787.436906851493</v>
      </c>
      <c r="O103" s="303">
        <f t="shared" si="158"/>
        <v>-9933.4439454447784</v>
      </c>
      <c r="P103" s="357">
        <f>Q93*P52*Faktory!$D$8</f>
        <v>5383.1481449236653</v>
      </c>
      <c r="Q103" s="358">
        <f>Q93*Q52*Faktory!$D$8*(1+$S$46)</f>
        <v>4262.607212053369</v>
      </c>
      <c r="R103" s="304">
        <f t="shared" si="159"/>
        <v>-1120.5409328702963</v>
      </c>
    </row>
    <row r="104" spans="1:18" x14ac:dyDescent="0.25">
      <c r="A104" s="1282"/>
      <c r="B104" s="1284"/>
      <c r="C104" s="346" t="s">
        <v>32</v>
      </c>
      <c r="D104" s="347">
        <f t="shared" si="141"/>
        <v>3947577.9787636278</v>
      </c>
      <c r="E104" s="348">
        <f t="shared" si="142"/>
        <v>2932622.4909734838</v>
      </c>
      <c r="F104" s="349">
        <f t="shared" si="143"/>
        <v>-1014955.4877901431</v>
      </c>
      <c r="G104" s="356">
        <f>H94*G53*Faktory!$D$8</f>
        <v>2884931.0420896709</v>
      </c>
      <c r="H104" s="357">
        <f>H94*H53*Faktory!$D$8*(1+$S$46)</f>
        <v>2284411.9342850549</v>
      </c>
      <c r="I104" s="303">
        <f t="shared" si="156"/>
        <v>-600519.10780461598</v>
      </c>
      <c r="J104" s="357">
        <f>K94*J53*Faktory!$D$8</f>
        <v>1009542.9076767366</v>
      </c>
      <c r="K104" s="357">
        <f>K94*K53*Faktory!$D$8*(1+$S$46)</f>
        <v>606160.51256952458</v>
      </c>
      <c r="L104" s="303">
        <f t="shared" si="157"/>
        <v>-403382.39510721201</v>
      </c>
      <c r="M104" s="357">
        <f>N94*M53*Faktory!$D$8</f>
        <v>47720.880852296272</v>
      </c>
      <c r="N104" s="357">
        <f>N94*N53*Faktory!$D$8*(1+$S$46)</f>
        <v>37787.436906851493</v>
      </c>
      <c r="O104" s="303">
        <f t="shared" si="158"/>
        <v>-9933.4439454447784</v>
      </c>
      <c r="P104" s="357">
        <f>Q94*P53*Faktory!$D$8</f>
        <v>5383.1481449236653</v>
      </c>
      <c r="Q104" s="358">
        <f>Q94*Q53*Faktory!$D$8*(1+$S$46)</f>
        <v>4262.607212053369</v>
      </c>
      <c r="R104" s="304">
        <f t="shared" si="159"/>
        <v>-1120.5409328702963</v>
      </c>
    </row>
    <row r="105" spans="1:18" x14ac:dyDescent="0.25">
      <c r="A105" s="1282"/>
      <c r="B105" s="1284"/>
      <c r="C105" s="346" t="s">
        <v>33</v>
      </c>
      <c r="D105" s="347">
        <f t="shared" si="141"/>
        <v>3947577.9787636278</v>
      </c>
      <c r="E105" s="348">
        <f t="shared" si="142"/>
        <v>2932622.4909734838</v>
      </c>
      <c r="F105" s="349">
        <f t="shared" si="143"/>
        <v>-1014955.4877901431</v>
      </c>
      <c r="G105" s="356">
        <f>H95*G54*Faktory!$D$8</f>
        <v>2884931.0420896709</v>
      </c>
      <c r="H105" s="357">
        <f>H95*H54*Faktory!$D$8*(1+$S$46)</f>
        <v>2284411.9342850549</v>
      </c>
      <c r="I105" s="303">
        <f t="shared" si="156"/>
        <v>-600519.10780461598</v>
      </c>
      <c r="J105" s="357">
        <f>K95*J54*Faktory!$D$8</f>
        <v>1009542.9076767366</v>
      </c>
      <c r="K105" s="357">
        <f>K95*K54*Faktory!$D$8*(1+$S$46)</f>
        <v>606160.51256952458</v>
      </c>
      <c r="L105" s="303">
        <f t="shared" si="157"/>
        <v>-403382.39510721201</v>
      </c>
      <c r="M105" s="357">
        <f>N95*M54*Faktory!$D$8</f>
        <v>47720.880852296272</v>
      </c>
      <c r="N105" s="357">
        <f>N95*N54*Faktory!$D$8*(1+$S$46)</f>
        <v>37787.436906851493</v>
      </c>
      <c r="O105" s="303">
        <f t="shared" si="158"/>
        <v>-9933.4439454447784</v>
      </c>
      <c r="P105" s="357">
        <f>Q95*P54*Faktory!$D$8</f>
        <v>5383.1481449236653</v>
      </c>
      <c r="Q105" s="358">
        <f>Q95*Q54*Faktory!$D$8*(1+$S$46)</f>
        <v>4262.607212053369</v>
      </c>
      <c r="R105" s="304">
        <f t="shared" si="159"/>
        <v>-1120.5409328702963</v>
      </c>
    </row>
    <row r="106" spans="1:18" ht="15.75" thickBot="1" x14ac:dyDescent="0.3">
      <c r="A106" s="1283"/>
      <c r="B106" s="1285"/>
      <c r="C106" s="359" t="s">
        <v>34</v>
      </c>
      <c r="D106" s="360">
        <f t="shared" si="141"/>
        <v>3947577.9787636278</v>
      </c>
      <c r="E106" s="361">
        <f t="shared" si="142"/>
        <v>2932622.4909734838</v>
      </c>
      <c r="F106" s="362">
        <f t="shared" si="143"/>
        <v>-1014955.4877901431</v>
      </c>
      <c r="G106" s="363">
        <f>H96*G55*Faktory!$D$8</f>
        <v>2884931.0420896709</v>
      </c>
      <c r="H106" s="364">
        <f>H96*H55*Faktory!$D$8*(1+$S$46)</f>
        <v>2284411.9342850549</v>
      </c>
      <c r="I106" s="311">
        <f t="shared" si="156"/>
        <v>-600519.10780461598</v>
      </c>
      <c r="J106" s="364">
        <f>K96*J55*Faktory!$D$8</f>
        <v>1009542.9076767366</v>
      </c>
      <c r="K106" s="364">
        <f>K96*K55*Faktory!$D$8*(1+$S$46)</f>
        <v>606160.51256952458</v>
      </c>
      <c r="L106" s="311">
        <f t="shared" si="157"/>
        <v>-403382.39510721201</v>
      </c>
      <c r="M106" s="364">
        <f>N96*M55*Faktory!$D$8</f>
        <v>47720.880852296272</v>
      </c>
      <c r="N106" s="364">
        <f>N96*N55*Faktory!$D$8*(1+$S$46)</f>
        <v>37787.436906851493</v>
      </c>
      <c r="O106" s="311">
        <f t="shared" si="158"/>
        <v>-9933.4439454447784</v>
      </c>
      <c r="P106" s="364">
        <f>Q96*P55*Faktory!$D$8</f>
        <v>5383.1481449236653</v>
      </c>
      <c r="Q106" s="365">
        <f>Q96*Q55*Faktory!$D$8*(1+$S$46)</f>
        <v>4262.607212053369</v>
      </c>
      <c r="R106" s="312">
        <f t="shared" si="159"/>
        <v>-1120.5409328702963</v>
      </c>
    </row>
    <row r="107" spans="1:18" x14ac:dyDescent="0.25">
      <c r="A107" s="1282" t="s">
        <v>173</v>
      </c>
      <c r="B107" s="1284" t="s">
        <v>174</v>
      </c>
      <c r="C107" s="346" t="s">
        <v>25</v>
      </c>
      <c r="D107" s="370">
        <f t="shared" si="141"/>
        <v>111.89761238924328</v>
      </c>
      <c r="E107" s="371">
        <f t="shared" si="142"/>
        <v>111.89761238924328</v>
      </c>
      <c r="F107" s="372">
        <f t="shared" si="143"/>
        <v>0</v>
      </c>
      <c r="G107" s="373">
        <f t="shared" ref="G107:H116" si="160">(G6*G46)/12/21/7.5</f>
        <v>81.775938880516094</v>
      </c>
      <c r="H107" s="374">
        <f t="shared" si="160"/>
        <v>81.775938880516094</v>
      </c>
      <c r="I107" s="375">
        <f t="shared" si="156"/>
        <v>0</v>
      </c>
      <c r="J107" s="374">
        <f t="shared" ref="J107:K116" si="161">(J6*J46)/12/21/7.5</f>
        <v>28.616392527577531</v>
      </c>
      <c r="K107" s="374">
        <f t="shared" si="161"/>
        <v>28.616392527577531</v>
      </c>
      <c r="L107" s="375">
        <f t="shared" si="157"/>
        <v>0</v>
      </c>
      <c r="M107" s="374">
        <f t="shared" ref="M107:N116" si="162">(M6*M46)/12/21/7.5</f>
        <v>1.3526908542933809</v>
      </c>
      <c r="N107" s="374">
        <f t="shared" si="162"/>
        <v>1.3526908542933809</v>
      </c>
      <c r="O107" s="375">
        <f t="shared" si="158"/>
        <v>0</v>
      </c>
      <c r="P107" s="374">
        <f t="shared" ref="P107:Q116" si="163">(P6*P46)/12/21/7.5</f>
        <v>0.15259012685626552</v>
      </c>
      <c r="Q107" s="376">
        <f t="shared" si="163"/>
        <v>0.15259012685626552</v>
      </c>
      <c r="R107" s="377">
        <f t="shared" si="159"/>
        <v>0</v>
      </c>
    </row>
    <row r="108" spans="1:18" x14ac:dyDescent="0.25">
      <c r="A108" s="1282"/>
      <c r="B108" s="1284"/>
      <c r="C108" s="346" t="s">
        <v>26</v>
      </c>
      <c r="D108" s="370">
        <f t="shared" si="141"/>
        <v>111.89761238924328</v>
      </c>
      <c r="E108" s="371">
        <f t="shared" si="142"/>
        <v>111.89761238924328</v>
      </c>
      <c r="F108" s="372">
        <f t="shared" si="143"/>
        <v>0</v>
      </c>
      <c r="G108" s="378">
        <f t="shared" si="160"/>
        <v>81.775938880516094</v>
      </c>
      <c r="H108" s="379">
        <f t="shared" si="160"/>
        <v>81.775938880516094</v>
      </c>
      <c r="I108" s="380">
        <f t="shared" si="156"/>
        <v>0</v>
      </c>
      <c r="J108" s="379">
        <f t="shared" si="161"/>
        <v>28.616392527577531</v>
      </c>
      <c r="K108" s="379">
        <f t="shared" si="161"/>
        <v>28.616392527577531</v>
      </c>
      <c r="L108" s="380">
        <f t="shared" si="157"/>
        <v>0</v>
      </c>
      <c r="M108" s="379">
        <f t="shared" si="162"/>
        <v>1.3526908542933809</v>
      </c>
      <c r="N108" s="379">
        <f t="shared" si="162"/>
        <v>1.3526908542933809</v>
      </c>
      <c r="O108" s="380">
        <f t="shared" si="158"/>
        <v>0</v>
      </c>
      <c r="P108" s="379">
        <f t="shared" si="163"/>
        <v>0.15259012685626552</v>
      </c>
      <c r="Q108" s="381">
        <f t="shared" si="163"/>
        <v>0.15259012685626552</v>
      </c>
      <c r="R108" s="382">
        <f t="shared" si="159"/>
        <v>0</v>
      </c>
    </row>
    <row r="109" spans="1:18" x14ac:dyDescent="0.25">
      <c r="A109" s="1282"/>
      <c r="B109" s="1284"/>
      <c r="C109" s="346" t="s">
        <v>27</v>
      </c>
      <c r="D109" s="370">
        <f t="shared" si="141"/>
        <v>111.89761238924328</v>
      </c>
      <c r="E109" s="371">
        <f t="shared" si="142"/>
        <v>111.89761238924328</v>
      </c>
      <c r="F109" s="372">
        <f t="shared" si="143"/>
        <v>0</v>
      </c>
      <c r="G109" s="378">
        <f t="shared" si="160"/>
        <v>81.775938880516094</v>
      </c>
      <c r="H109" s="379">
        <f t="shared" si="160"/>
        <v>81.775938880516094</v>
      </c>
      <c r="I109" s="380">
        <f t="shared" si="156"/>
        <v>0</v>
      </c>
      <c r="J109" s="379">
        <f t="shared" si="161"/>
        <v>28.616392527577531</v>
      </c>
      <c r="K109" s="379">
        <f t="shared" si="161"/>
        <v>28.616392527577531</v>
      </c>
      <c r="L109" s="380">
        <f t="shared" si="157"/>
        <v>0</v>
      </c>
      <c r="M109" s="379">
        <f t="shared" si="162"/>
        <v>1.3526908542933809</v>
      </c>
      <c r="N109" s="379">
        <f t="shared" si="162"/>
        <v>1.3526908542933809</v>
      </c>
      <c r="O109" s="380">
        <f t="shared" si="158"/>
        <v>0</v>
      </c>
      <c r="P109" s="379">
        <f t="shared" si="163"/>
        <v>0.15259012685626552</v>
      </c>
      <c r="Q109" s="381">
        <f t="shared" si="163"/>
        <v>0.15259012685626552</v>
      </c>
      <c r="R109" s="382">
        <f t="shared" si="159"/>
        <v>0</v>
      </c>
    </row>
    <row r="110" spans="1:18" x14ac:dyDescent="0.25">
      <c r="A110" s="1282"/>
      <c r="B110" s="1284"/>
      <c r="C110" s="346" t="s">
        <v>28</v>
      </c>
      <c r="D110" s="370">
        <f t="shared" si="141"/>
        <v>111.89761238924328</v>
      </c>
      <c r="E110" s="371">
        <f t="shared" si="142"/>
        <v>104.98017191305281</v>
      </c>
      <c r="F110" s="372">
        <f t="shared" si="143"/>
        <v>-6.9174404761904782</v>
      </c>
      <c r="G110" s="378">
        <f t="shared" si="160"/>
        <v>81.775938880516094</v>
      </c>
      <c r="H110" s="379">
        <f t="shared" si="160"/>
        <v>81.775938880516108</v>
      </c>
      <c r="I110" s="380">
        <f t="shared" si="156"/>
        <v>0</v>
      </c>
      <c r="J110" s="379">
        <f t="shared" si="161"/>
        <v>28.616392527577531</v>
      </c>
      <c r="K110" s="379">
        <f t="shared" si="161"/>
        <v>21.698952051387053</v>
      </c>
      <c r="L110" s="380">
        <f t="shared" si="157"/>
        <v>-6.9174404761904782</v>
      </c>
      <c r="M110" s="379">
        <f t="shared" si="162"/>
        <v>1.3526908542933809</v>
      </c>
      <c r="N110" s="379">
        <f t="shared" si="162"/>
        <v>1.3526908542933813</v>
      </c>
      <c r="O110" s="380">
        <f t="shared" si="158"/>
        <v>0</v>
      </c>
      <c r="P110" s="379">
        <f t="shared" si="163"/>
        <v>0.15259012685626552</v>
      </c>
      <c r="Q110" s="381">
        <f t="shared" si="163"/>
        <v>0.15259012685626555</v>
      </c>
      <c r="R110" s="382">
        <f t="shared" si="159"/>
        <v>0</v>
      </c>
    </row>
    <row r="111" spans="1:18" x14ac:dyDescent="0.25">
      <c r="A111" s="1282"/>
      <c r="B111" s="1284"/>
      <c r="C111" s="346" t="s">
        <v>29</v>
      </c>
      <c r="D111" s="370">
        <f t="shared" si="141"/>
        <v>111.89761238924328</v>
      </c>
      <c r="E111" s="371">
        <f t="shared" si="142"/>
        <v>104.98017191305281</v>
      </c>
      <c r="F111" s="372">
        <f t="shared" si="143"/>
        <v>-6.9174404761904782</v>
      </c>
      <c r="G111" s="378">
        <f t="shared" si="160"/>
        <v>81.775938880516094</v>
      </c>
      <c r="H111" s="379">
        <f t="shared" si="160"/>
        <v>81.775938880516108</v>
      </c>
      <c r="I111" s="380">
        <f t="shared" si="156"/>
        <v>0</v>
      </c>
      <c r="J111" s="379">
        <f t="shared" si="161"/>
        <v>28.616392527577531</v>
      </c>
      <c r="K111" s="379">
        <f t="shared" si="161"/>
        <v>21.698952051387053</v>
      </c>
      <c r="L111" s="380">
        <f t="shared" si="157"/>
        <v>-6.9174404761904782</v>
      </c>
      <c r="M111" s="379">
        <f t="shared" si="162"/>
        <v>1.3526908542933809</v>
      </c>
      <c r="N111" s="379">
        <f t="shared" si="162"/>
        <v>1.3526908542933813</v>
      </c>
      <c r="O111" s="380">
        <f t="shared" si="158"/>
        <v>0</v>
      </c>
      <c r="P111" s="379">
        <f t="shared" si="163"/>
        <v>0.15259012685626552</v>
      </c>
      <c r="Q111" s="381">
        <f t="shared" si="163"/>
        <v>0.15259012685626555</v>
      </c>
      <c r="R111" s="382">
        <f t="shared" si="159"/>
        <v>0</v>
      </c>
    </row>
    <row r="112" spans="1:18" x14ac:dyDescent="0.25">
      <c r="A112" s="1282"/>
      <c r="B112" s="1284"/>
      <c r="C112" s="346" t="s">
        <v>30</v>
      </c>
      <c r="D112" s="370">
        <f t="shared" si="141"/>
        <v>111.89761238924328</v>
      </c>
      <c r="E112" s="371">
        <f t="shared" si="142"/>
        <v>104.98017191305281</v>
      </c>
      <c r="F112" s="372">
        <f t="shared" si="143"/>
        <v>-6.9174404761904782</v>
      </c>
      <c r="G112" s="378">
        <f t="shared" si="160"/>
        <v>81.775938880516094</v>
      </c>
      <c r="H112" s="379">
        <f t="shared" si="160"/>
        <v>81.775938880516108</v>
      </c>
      <c r="I112" s="380">
        <f t="shared" si="156"/>
        <v>0</v>
      </c>
      <c r="J112" s="379">
        <f t="shared" si="161"/>
        <v>28.616392527577531</v>
      </c>
      <c r="K112" s="379">
        <f t="shared" si="161"/>
        <v>21.698952051387053</v>
      </c>
      <c r="L112" s="380">
        <f t="shared" si="157"/>
        <v>-6.9174404761904782</v>
      </c>
      <c r="M112" s="379">
        <f t="shared" si="162"/>
        <v>1.3526908542933809</v>
      </c>
      <c r="N112" s="379">
        <f t="shared" si="162"/>
        <v>1.3526908542933813</v>
      </c>
      <c r="O112" s="380">
        <f t="shared" si="158"/>
        <v>0</v>
      </c>
      <c r="P112" s="379">
        <f t="shared" si="163"/>
        <v>0.15259012685626552</v>
      </c>
      <c r="Q112" s="381">
        <f t="shared" si="163"/>
        <v>0.15259012685626555</v>
      </c>
      <c r="R112" s="382">
        <f t="shared" si="159"/>
        <v>0</v>
      </c>
    </row>
    <row r="113" spans="1:18" x14ac:dyDescent="0.25">
      <c r="A113" s="1282"/>
      <c r="B113" s="1284"/>
      <c r="C113" s="346" t="s">
        <v>31</v>
      </c>
      <c r="D113" s="370">
        <f t="shared" si="141"/>
        <v>111.89761238924328</v>
      </c>
      <c r="E113" s="371">
        <f t="shared" si="142"/>
        <v>104.98017191305281</v>
      </c>
      <c r="F113" s="372">
        <f t="shared" si="143"/>
        <v>-6.9174404761904782</v>
      </c>
      <c r="G113" s="378">
        <f t="shared" si="160"/>
        <v>81.775938880516094</v>
      </c>
      <c r="H113" s="379">
        <f t="shared" si="160"/>
        <v>81.775938880516108</v>
      </c>
      <c r="I113" s="380">
        <f t="shared" si="156"/>
        <v>0</v>
      </c>
      <c r="J113" s="379">
        <f t="shared" si="161"/>
        <v>28.616392527577531</v>
      </c>
      <c r="K113" s="379">
        <f t="shared" si="161"/>
        <v>21.698952051387053</v>
      </c>
      <c r="L113" s="380">
        <f t="shared" si="157"/>
        <v>-6.9174404761904782</v>
      </c>
      <c r="M113" s="379">
        <f t="shared" si="162"/>
        <v>1.3526908542933809</v>
      </c>
      <c r="N113" s="379">
        <f t="shared" si="162"/>
        <v>1.3526908542933813</v>
      </c>
      <c r="O113" s="380">
        <f t="shared" si="158"/>
        <v>0</v>
      </c>
      <c r="P113" s="379">
        <f t="shared" si="163"/>
        <v>0.15259012685626552</v>
      </c>
      <c r="Q113" s="381">
        <f t="shared" si="163"/>
        <v>0.15259012685626555</v>
      </c>
      <c r="R113" s="382">
        <f t="shared" si="159"/>
        <v>0</v>
      </c>
    </row>
    <row r="114" spans="1:18" x14ac:dyDescent="0.25">
      <c r="A114" s="1282"/>
      <c r="B114" s="1284"/>
      <c r="C114" s="346" t="s">
        <v>32</v>
      </c>
      <c r="D114" s="370">
        <f t="shared" si="141"/>
        <v>111.89761238924328</v>
      </c>
      <c r="E114" s="371">
        <f t="shared" si="142"/>
        <v>104.98017191305281</v>
      </c>
      <c r="F114" s="372">
        <f t="shared" si="143"/>
        <v>-6.9174404761904782</v>
      </c>
      <c r="G114" s="378">
        <f t="shared" si="160"/>
        <v>81.775938880516094</v>
      </c>
      <c r="H114" s="379">
        <f t="shared" si="160"/>
        <v>81.775938880516108</v>
      </c>
      <c r="I114" s="380">
        <f t="shared" si="156"/>
        <v>0</v>
      </c>
      <c r="J114" s="379">
        <f t="shared" si="161"/>
        <v>28.616392527577531</v>
      </c>
      <c r="K114" s="379">
        <f t="shared" si="161"/>
        <v>21.698952051387053</v>
      </c>
      <c r="L114" s="380">
        <f t="shared" si="157"/>
        <v>-6.9174404761904782</v>
      </c>
      <c r="M114" s="379">
        <f t="shared" si="162"/>
        <v>1.3526908542933809</v>
      </c>
      <c r="N114" s="379">
        <f t="shared" si="162"/>
        <v>1.3526908542933813</v>
      </c>
      <c r="O114" s="380">
        <f t="shared" si="158"/>
        <v>0</v>
      </c>
      <c r="P114" s="379">
        <f t="shared" si="163"/>
        <v>0.15259012685626552</v>
      </c>
      <c r="Q114" s="381">
        <f t="shared" si="163"/>
        <v>0.15259012685626555</v>
      </c>
      <c r="R114" s="382">
        <f t="shared" si="159"/>
        <v>0</v>
      </c>
    </row>
    <row r="115" spans="1:18" x14ac:dyDescent="0.25">
      <c r="A115" s="1282"/>
      <c r="B115" s="1284"/>
      <c r="C115" s="346" t="s">
        <v>33</v>
      </c>
      <c r="D115" s="370">
        <f t="shared" si="141"/>
        <v>111.89761238924328</v>
      </c>
      <c r="E115" s="371">
        <f t="shared" si="142"/>
        <v>104.98017191305281</v>
      </c>
      <c r="F115" s="372">
        <f t="shared" si="143"/>
        <v>-6.9174404761904782</v>
      </c>
      <c r="G115" s="378">
        <f t="shared" si="160"/>
        <v>81.775938880516094</v>
      </c>
      <c r="H115" s="379">
        <f t="shared" si="160"/>
        <v>81.775938880516108</v>
      </c>
      <c r="I115" s="380">
        <f t="shared" si="156"/>
        <v>0</v>
      </c>
      <c r="J115" s="379">
        <f t="shared" si="161"/>
        <v>28.616392527577531</v>
      </c>
      <c r="K115" s="379">
        <f t="shared" si="161"/>
        <v>21.698952051387053</v>
      </c>
      <c r="L115" s="380">
        <f t="shared" si="157"/>
        <v>-6.9174404761904782</v>
      </c>
      <c r="M115" s="379">
        <f t="shared" si="162"/>
        <v>1.3526908542933809</v>
      </c>
      <c r="N115" s="379">
        <f t="shared" si="162"/>
        <v>1.3526908542933813</v>
      </c>
      <c r="O115" s="380">
        <f t="shared" si="158"/>
        <v>0</v>
      </c>
      <c r="P115" s="379">
        <f t="shared" si="163"/>
        <v>0.15259012685626552</v>
      </c>
      <c r="Q115" s="381">
        <f t="shared" si="163"/>
        <v>0.15259012685626555</v>
      </c>
      <c r="R115" s="382">
        <f t="shared" si="159"/>
        <v>0</v>
      </c>
    </row>
    <row r="116" spans="1:18" ht="15.75" thickBot="1" x14ac:dyDescent="0.3">
      <c r="A116" s="1283"/>
      <c r="B116" s="1285"/>
      <c r="C116" s="359" t="s">
        <v>34</v>
      </c>
      <c r="D116" s="383">
        <f t="shared" si="141"/>
        <v>111.89761238924328</v>
      </c>
      <c r="E116" s="384">
        <f t="shared" si="142"/>
        <v>104.98017191305281</v>
      </c>
      <c r="F116" s="385">
        <f t="shared" si="143"/>
        <v>-6.9174404761904782</v>
      </c>
      <c r="G116" s="386">
        <f t="shared" si="160"/>
        <v>81.775938880516094</v>
      </c>
      <c r="H116" s="387">
        <f t="shared" si="160"/>
        <v>81.775938880516108</v>
      </c>
      <c r="I116" s="388">
        <f t="shared" si="156"/>
        <v>0</v>
      </c>
      <c r="J116" s="387">
        <f t="shared" si="161"/>
        <v>28.616392527577531</v>
      </c>
      <c r="K116" s="387">
        <f t="shared" si="161"/>
        <v>21.698952051387053</v>
      </c>
      <c r="L116" s="388">
        <f t="shared" si="157"/>
        <v>-6.9174404761904782</v>
      </c>
      <c r="M116" s="387">
        <f t="shared" si="162"/>
        <v>1.3526908542933809</v>
      </c>
      <c r="N116" s="387">
        <f t="shared" si="162"/>
        <v>1.3526908542933813</v>
      </c>
      <c r="O116" s="388">
        <f t="shared" si="158"/>
        <v>0</v>
      </c>
      <c r="P116" s="387">
        <f t="shared" si="163"/>
        <v>0.15259012685626552</v>
      </c>
      <c r="Q116" s="389">
        <f t="shared" si="163"/>
        <v>0.15259012685626555</v>
      </c>
      <c r="R116" s="390">
        <f t="shared" si="159"/>
        <v>0</v>
      </c>
    </row>
    <row r="117" spans="1:18" x14ac:dyDescent="0.25">
      <c r="A117" s="1282" t="s">
        <v>177</v>
      </c>
      <c r="B117" s="1284" t="s">
        <v>13</v>
      </c>
      <c r="C117" s="346" t="s">
        <v>25</v>
      </c>
      <c r="D117" s="347">
        <f t="shared" si="141"/>
        <v>0</v>
      </c>
      <c r="E117" s="348">
        <f t="shared" si="142"/>
        <v>0</v>
      </c>
      <c r="F117" s="349">
        <f t="shared" si="143"/>
        <v>0</v>
      </c>
      <c r="G117" s="366">
        <v>0</v>
      </c>
      <c r="H117" s="367">
        <f>(G87+I87/2)*((G56-H56)*(1+$S$56))*Faktory!$D$10</f>
        <v>0</v>
      </c>
      <c r="I117" s="295">
        <f>H117</f>
        <v>0</v>
      </c>
      <c r="J117" s="367">
        <v>0</v>
      </c>
      <c r="K117" s="367">
        <f>(J87+L87/2)*((J56-K56)*(1+$S$56))*Faktory!$D$10</f>
        <v>0</v>
      </c>
      <c r="L117" s="295">
        <f>K117</f>
        <v>0</v>
      </c>
      <c r="M117" s="367">
        <v>0</v>
      </c>
      <c r="N117" s="367">
        <f>(M87+O87/2)*((M56-N56)*(1+$S$56))*Faktory!$D$10</f>
        <v>0</v>
      </c>
      <c r="O117" s="295">
        <f>N117</f>
        <v>0</v>
      </c>
      <c r="P117" s="367">
        <v>0</v>
      </c>
      <c r="Q117" s="368">
        <f>(P87+R87/2)*((P56-Q56)*(1+$S$56))*Faktory!$D$10</f>
        <v>0</v>
      </c>
      <c r="R117" s="369">
        <f>Q117</f>
        <v>0</v>
      </c>
    </row>
    <row r="118" spans="1:18" x14ac:dyDescent="0.25">
      <c r="A118" s="1282"/>
      <c r="B118" s="1284"/>
      <c r="C118" s="346" t="s">
        <v>26</v>
      </c>
      <c r="D118" s="347">
        <f t="shared" si="141"/>
        <v>0</v>
      </c>
      <c r="E118" s="348">
        <f t="shared" si="142"/>
        <v>0</v>
      </c>
      <c r="F118" s="349">
        <f t="shared" si="143"/>
        <v>0</v>
      </c>
      <c r="G118" s="356">
        <v>0</v>
      </c>
      <c r="H118" s="357">
        <f>(G88+I88/2)*((G57-H57)*(1+$S$56))*Faktory!$D$10</f>
        <v>0</v>
      </c>
      <c r="I118" s="303">
        <f t="shared" ref="I118:I126" si="164">H118</f>
        <v>0</v>
      </c>
      <c r="J118" s="357">
        <v>0</v>
      </c>
      <c r="K118" s="357">
        <f>(J88+L88/2)*((J57-K57)*(1+$S$56))*Faktory!$D$10</f>
        <v>0</v>
      </c>
      <c r="L118" s="303">
        <f t="shared" ref="L118:L126" si="165">K118</f>
        <v>0</v>
      </c>
      <c r="M118" s="357">
        <v>0</v>
      </c>
      <c r="N118" s="357">
        <f>(M88+O88/2)*((M57-N57)*(1+$S$56))*Faktory!$D$10</f>
        <v>0</v>
      </c>
      <c r="O118" s="303">
        <f t="shared" ref="O118:O126" si="166">N118</f>
        <v>0</v>
      </c>
      <c r="P118" s="357">
        <v>0</v>
      </c>
      <c r="Q118" s="358">
        <f>(P88+R88/2)*((P57-Q57)*(1+$S$56))*Faktory!$D$10</f>
        <v>0</v>
      </c>
      <c r="R118" s="304">
        <f t="shared" ref="R118:R126" si="167">Q118</f>
        <v>0</v>
      </c>
    </row>
    <row r="119" spans="1:18" x14ac:dyDescent="0.25">
      <c r="A119" s="1282"/>
      <c r="B119" s="1284"/>
      <c r="C119" s="346" t="s">
        <v>27</v>
      </c>
      <c r="D119" s="347">
        <f t="shared" si="141"/>
        <v>0</v>
      </c>
      <c r="E119" s="348">
        <f t="shared" si="142"/>
        <v>0</v>
      </c>
      <c r="F119" s="349">
        <f t="shared" si="143"/>
        <v>0</v>
      </c>
      <c r="G119" s="356">
        <v>0</v>
      </c>
      <c r="H119" s="357">
        <f>(G89+I89/2)*((G58-H58)*(1+$S$56))*Faktory!$D$10</f>
        <v>0</v>
      </c>
      <c r="I119" s="303">
        <f t="shared" si="164"/>
        <v>0</v>
      </c>
      <c r="J119" s="357">
        <v>0</v>
      </c>
      <c r="K119" s="357">
        <f>(J89+L89/2)*((J58-K58)*(1+$S$56))*Faktory!$D$10</f>
        <v>0</v>
      </c>
      <c r="L119" s="303">
        <f t="shared" si="165"/>
        <v>0</v>
      </c>
      <c r="M119" s="357">
        <v>0</v>
      </c>
      <c r="N119" s="357">
        <f>(M89+O89/2)*((M58-N58)*(1+$S$56))*Faktory!$D$10</f>
        <v>0</v>
      </c>
      <c r="O119" s="303">
        <f t="shared" si="166"/>
        <v>0</v>
      </c>
      <c r="P119" s="357">
        <v>0</v>
      </c>
      <c r="Q119" s="358">
        <f>(P89+R89/2)*((P58-Q58)*(1+$S$56))*Faktory!$D$10</f>
        <v>0</v>
      </c>
      <c r="R119" s="304">
        <f t="shared" si="167"/>
        <v>0</v>
      </c>
    </row>
    <row r="120" spans="1:18" x14ac:dyDescent="0.25">
      <c r="A120" s="1282"/>
      <c r="B120" s="1284"/>
      <c r="C120" s="346" t="s">
        <v>28</v>
      </c>
      <c r="D120" s="347">
        <f t="shared" si="141"/>
        <v>0</v>
      </c>
      <c r="E120" s="348">
        <f t="shared" si="142"/>
        <v>0</v>
      </c>
      <c r="F120" s="349">
        <f t="shared" si="143"/>
        <v>0</v>
      </c>
      <c r="G120" s="356">
        <v>0</v>
      </c>
      <c r="H120" s="357">
        <f>(G90+I90/2)*((G59-H59)*(1+$S$56))*Faktory!$D$10</f>
        <v>0</v>
      </c>
      <c r="I120" s="303">
        <f t="shared" si="164"/>
        <v>0</v>
      </c>
      <c r="J120" s="357">
        <v>0</v>
      </c>
      <c r="K120" s="357">
        <f>(J90+L90/2)*((J59-K59)*(1+$S$56))*Faktory!$D$10</f>
        <v>0</v>
      </c>
      <c r="L120" s="303">
        <f t="shared" si="165"/>
        <v>0</v>
      </c>
      <c r="M120" s="357">
        <v>0</v>
      </c>
      <c r="N120" s="357">
        <f>(M90+O90/2)*((M59-N59)*(1+$S$56))*Faktory!$D$10</f>
        <v>0</v>
      </c>
      <c r="O120" s="303">
        <f t="shared" si="166"/>
        <v>0</v>
      </c>
      <c r="P120" s="357">
        <v>0</v>
      </c>
      <c r="Q120" s="358">
        <f>(P90+R90/2)*((P59-Q59)*(1+$S$56))*Faktory!$D$10</f>
        <v>0</v>
      </c>
      <c r="R120" s="304">
        <f t="shared" si="167"/>
        <v>0</v>
      </c>
    </row>
    <row r="121" spans="1:18" x14ac:dyDescent="0.25">
      <c r="A121" s="1282"/>
      <c r="B121" s="1284"/>
      <c r="C121" s="346" t="s">
        <v>29</v>
      </c>
      <c r="D121" s="347">
        <f t="shared" si="141"/>
        <v>0</v>
      </c>
      <c r="E121" s="348">
        <f t="shared" si="142"/>
        <v>0</v>
      </c>
      <c r="F121" s="349">
        <f t="shared" si="143"/>
        <v>0</v>
      </c>
      <c r="G121" s="356">
        <v>0</v>
      </c>
      <c r="H121" s="357">
        <f>(G91+I91/2)*((G60-H60)*(1+$S$56))*Faktory!$D$10</f>
        <v>0</v>
      </c>
      <c r="I121" s="303">
        <f t="shared" si="164"/>
        <v>0</v>
      </c>
      <c r="J121" s="357">
        <v>0</v>
      </c>
      <c r="K121" s="357">
        <f>(J91+L91/2)*((J60-K60)*(1+$S$56))*Faktory!$D$10</f>
        <v>0</v>
      </c>
      <c r="L121" s="303">
        <f t="shared" si="165"/>
        <v>0</v>
      </c>
      <c r="M121" s="357">
        <v>0</v>
      </c>
      <c r="N121" s="357">
        <f>(M91+O91/2)*((M60-N60)*(1+$S$56))*Faktory!$D$10</f>
        <v>0</v>
      </c>
      <c r="O121" s="303">
        <f t="shared" si="166"/>
        <v>0</v>
      </c>
      <c r="P121" s="357">
        <v>0</v>
      </c>
      <c r="Q121" s="358">
        <f>(P91+R91/2)*((P60-Q60)*(1+$S$56))*Faktory!$D$10</f>
        <v>0</v>
      </c>
      <c r="R121" s="304">
        <f t="shared" si="167"/>
        <v>0</v>
      </c>
    </row>
    <row r="122" spans="1:18" x14ac:dyDescent="0.25">
      <c r="A122" s="1282"/>
      <c r="B122" s="1284"/>
      <c r="C122" s="346" t="s">
        <v>30</v>
      </c>
      <c r="D122" s="347">
        <f t="shared" si="141"/>
        <v>0</v>
      </c>
      <c r="E122" s="348">
        <f t="shared" si="142"/>
        <v>0</v>
      </c>
      <c r="F122" s="349">
        <f t="shared" si="143"/>
        <v>0</v>
      </c>
      <c r="G122" s="356">
        <v>0</v>
      </c>
      <c r="H122" s="357">
        <f>(G92+I92/2)*((G61-H61)*(1+$S$56))*Faktory!$D$10</f>
        <v>0</v>
      </c>
      <c r="I122" s="303">
        <f t="shared" si="164"/>
        <v>0</v>
      </c>
      <c r="J122" s="357">
        <v>0</v>
      </c>
      <c r="K122" s="357">
        <f>(J92+L92/2)*((J61-K61)*(1+$S$56))*Faktory!$D$10</f>
        <v>0</v>
      </c>
      <c r="L122" s="303">
        <f t="shared" si="165"/>
        <v>0</v>
      </c>
      <c r="M122" s="357">
        <v>0</v>
      </c>
      <c r="N122" s="357">
        <f>(M92+O92/2)*((M61-N61)*(1+$S$56))*Faktory!$D$10</f>
        <v>0</v>
      </c>
      <c r="O122" s="303">
        <f t="shared" si="166"/>
        <v>0</v>
      </c>
      <c r="P122" s="357">
        <v>0</v>
      </c>
      <c r="Q122" s="358">
        <f>(P92+R92/2)*((P61-Q61)*(1+$S$56))*Faktory!$D$10</f>
        <v>0</v>
      </c>
      <c r="R122" s="304">
        <f t="shared" si="167"/>
        <v>0</v>
      </c>
    </row>
    <row r="123" spans="1:18" x14ac:dyDescent="0.25">
      <c r="A123" s="1282"/>
      <c r="B123" s="1284"/>
      <c r="C123" s="346" t="s">
        <v>31</v>
      </c>
      <c r="D123" s="347">
        <f t="shared" si="141"/>
        <v>0</v>
      </c>
      <c r="E123" s="348">
        <f t="shared" si="142"/>
        <v>0</v>
      </c>
      <c r="F123" s="349">
        <f t="shared" si="143"/>
        <v>0</v>
      </c>
      <c r="G123" s="356">
        <v>0</v>
      </c>
      <c r="H123" s="357">
        <f>(G93+I93/2)*((G62-H62)*(1+$S$56))*Faktory!$D$10</f>
        <v>0</v>
      </c>
      <c r="I123" s="303">
        <f t="shared" si="164"/>
        <v>0</v>
      </c>
      <c r="J123" s="357">
        <v>0</v>
      </c>
      <c r="K123" s="357">
        <f>(J93+L93/2)*((J62-K62)*(1+$S$56))*Faktory!$D$10</f>
        <v>0</v>
      </c>
      <c r="L123" s="303">
        <f t="shared" si="165"/>
        <v>0</v>
      </c>
      <c r="M123" s="357">
        <v>0</v>
      </c>
      <c r="N123" s="357">
        <f>(M93+O93/2)*((M62-N62)*(1+$S$56))*Faktory!$D$10</f>
        <v>0</v>
      </c>
      <c r="O123" s="303">
        <f t="shared" si="166"/>
        <v>0</v>
      </c>
      <c r="P123" s="357">
        <v>0</v>
      </c>
      <c r="Q123" s="358">
        <f>(P93+R93/2)*((P62-Q62)*(1+$S$56))*Faktory!$D$10</f>
        <v>0</v>
      </c>
      <c r="R123" s="304">
        <f t="shared" si="167"/>
        <v>0</v>
      </c>
    </row>
    <row r="124" spans="1:18" x14ac:dyDescent="0.25">
      <c r="A124" s="1282"/>
      <c r="B124" s="1284"/>
      <c r="C124" s="346" t="s">
        <v>32</v>
      </c>
      <c r="D124" s="347">
        <f t="shared" si="141"/>
        <v>0</v>
      </c>
      <c r="E124" s="348">
        <f t="shared" si="142"/>
        <v>0</v>
      </c>
      <c r="F124" s="349">
        <f t="shared" si="143"/>
        <v>0</v>
      </c>
      <c r="G124" s="356">
        <v>0</v>
      </c>
      <c r="H124" s="357">
        <f>(G94+I94/2)*((G63-H63)*(1+$S$56))*Faktory!$D$10</f>
        <v>0</v>
      </c>
      <c r="I124" s="303">
        <f t="shared" si="164"/>
        <v>0</v>
      </c>
      <c r="J124" s="357">
        <v>0</v>
      </c>
      <c r="K124" s="357">
        <f>(J94+L94/2)*((J63-K63)*(1+$S$56))*Faktory!$D$10</f>
        <v>0</v>
      </c>
      <c r="L124" s="303">
        <f t="shared" si="165"/>
        <v>0</v>
      </c>
      <c r="M124" s="357">
        <v>0</v>
      </c>
      <c r="N124" s="357">
        <f>(M94+O94/2)*((M63-N63)*(1+$S$56))*Faktory!$D$10</f>
        <v>0</v>
      </c>
      <c r="O124" s="303">
        <f t="shared" si="166"/>
        <v>0</v>
      </c>
      <c r="P124" s="357">
        <v>0</v>
      </c>
      <c r="Q124" s="358">
        <f>(P94+R94/2)*((P63-Q63)*(1+$S$56))*Faktory!$D$10</f>
        <v>0</v>
      </c>
      <c r="R124" s="304">
        <f t="shared" si="167"/>
        <v>0</v>
      </c>
    </row>
    <row r="125" spans="1:18" x14ac:dyDescent="0.25">
      <c r="A125" s="1282"/>
      <c r="B125" s="1284"/>
      <c r="C125" s="346" t="s">
        <v>33</v>
      </c>
      <c r="D125" s="347">
        <f t="shared" si="141"/>
        <v>0</v>
      </c>
      <c r="E125" s="348">
        <f t="shared" si="142"/>
        <v>0</v>
      </c>
      <c r="F125" s="349">
        <f t="shared" si="143"/>
        <v>0</v>
      </c>
      <c r="G125" s="356">
        <v>0</v>
      </c>
      <c r="H125" s="357">
        <f>(G95+I95/2)*((G64-H64)*(1+$S$56))*Faktory!$D$10</f>
        <v>0</v>
      </c>
      <c r="I125" s="303">
        <f t="shared" si="164"/>
        <v>0</v>
      </c>
      <c r="J125" s="357">
        <v>0</v>
      </c>
      <c r="K125" s="357">
        <f>(J95+L95/2)*((J64-K64)*(1+$S$56))*Faktory!$D$10</f>
        <v>0</v>
      </c>
      <c r="L125" s="303">
        <f t="shared" si="165"/>
        <v>0</v>
      </c>
      <c r="M125" s="357">
        <v>0</v>
      </c>
      <c r="N125" s="357">
        <f>(M95+O95/2)*((M64-N64)*(1+$S$56))*Faktory!$D$10</f>
        <v>0</v>
      </c>
      <c r="O125" s="303">
        <f t="shared" si="166"/>
        <v>0</v>
      </c>
      <c r="P125" s="357">
        <v>0</v>
      </c>
      <c r="Q125" s="358">
        <f>(P95+R95/2)*((P64-Q64)*(1+$S$56))*Faktory!$D$10</f>
        <v>0</v>
      </c>
      <c r="R125" s="304">
        <f t="shared" si="167"/>
        <v>0</v>
      </c>
    </row>
    <row r="126" spans="1:18" ht="15.75" thickBot="1" x14ac:dyDescent="0.3">
      <c r="A126" s="1283"/>
      <c r="B126" s="1285"/>
      <c r="C126" s="359" t="s">
        <v>34</v>
      </c>
      <c r="D126" s="360">
        <f t="shared" si="141"/>
        <v>0</v>
      </c>
      <c r="E126" s="361">
        <f t="shared" si="142"/>
        <v>0</v>
      </c>
      <c r="F126" s="362">
        <f t="shared" si="143"/>
        <v>0</v>
      </c>
      <c r="G126" s="363">
        <v>0</v>
      </c>
      <c r="H126" s="364">
        <f>(G96+I96/2)*((G65-H65)*(1+$S$56))*Faktory!$D$10</f>
        <v>0</v>
      </c>
      <c r="I126" s="311">
        <f t="shared" si="164"/>
        <v>0</v>
      </c>
      <c r="J126" s="364">
        <v>0</v>
      </c>
      <c r="K126" s="364">
        <f>(J96+L96/2)*((J65-K65)*(1+$S$56))*Faktory!$D$10</f>
        <v>0</v>
      </c>
      <c r="L126" s="311">
        <f t="shared" si="165"/>
        <v>0</v>
      </c>
      <c r="M126" s="364">
        <v>0</v>
      </c>
      <c r="N126" s="364">
        <f>(M96+O96/2)*((M65-N65)*(1+$S$56))*Faktory!$D$10</f>
        <v>0</v>
      </c>
      <c r="O126" s="311">
        <f t="shared" si="166"/>
        <v>0</v>
      </c>
      <c r="P126" s="364">
        <v>0</v>
      </c>
      <c r="Q126" s="365">
        <f>(P96+R96/2)*((P65-Q65)*(1+$S$56))*Faktory!$D$10</f>
        <v>0</v>
      </c>
      <c r="R126" s="312">
        <f t="shared" si="167"/>
        <v>0</v>
      </c>
    </row>
    <row r="127" spans="1:18" x14ac:dyDescent="0.25">
      <c r="A127" s="1282" t="s">
        <v>179</v>
      </c>
      <c r="B127" s="1284" t="s">
        <v>13</v>
      </c>
      <c r="C127" s="346" t="s">
        <v>25</v>
      </c>
      <c r="D127" s="347">
        <f t="shared" ref="D127:D166" si="168">G127+J127+M127+P127</f>
        <v>0</v>
      </c>
      <c r="E127" s="348">
        <f t="shared" ref="E127:E166" si="169">H127+K127+N127+Q127</f>
        <v>0</v>
      </c>
      <c r="F127" s="349">
        <f>E127-D127</f>
        <v>0</v>
      </c>
      <c r="G127" s="366">
        <f t="shared" ref="G127:H136" si="170">G6*G26</f>
        <v>0</v>
      </c>
      <c r="H127" s="367">
        <f t="shared" si="170"/>
        <v>0</v>
      </c>
      <c r="I127" s="295">
        <f>H127-G127</f>
        <v>0</v>
      </c>
      <c r="J127" s="367">
        <f t="shared" ref="J127:K136" si="171">J6*J26</f>
        <v>0</v>
      </c>
      <c r="K127" s="367">
        <f t="shared" si="171"/>
        <v>0</v>
      </c>
      <c r="L127" s="295">
        <f t="shared" ref="L127:L136" si="172">K127-J127</f>
        <v>0</v>
      </c>
      <c r="M127" s="367">
        <f t="shared" ref="M127:N136" si="173">M6*M26</f>
        <v>0</v>
      </c>
      <c r="N127" s="367">
        <f t="shared" si="173"/>
        <v>0</v>
      </c>
      <c r="O127" s="295">
        <f t="shared" ref="O127:O136" si="174">N127-M127</f>
        <v>0</v>
      </c>
      <c r="P127" s="367">
        <f t="shared" ref="P127:Q136" si="175">P6*P26</f>
        <v>0</v>
      </c>
      <c r="Q127" s="368">
        <f t="shared" si="175"/>
        <v>0</v>
      </c>
      <c r="R127" s="369">
        <f t="shared" ref="R127:R136" si="176">Q127-P127</f>
        <v>0</v>
      </c>
    </row>
    <row r="128" spans="1:18" x14ac:dyDescent="0.25">
      <c r="A128" s="1282"/>
      <c r="B128" s="1284"/>
      <c r="C128" s="346" t="s">
        <v>26</v>
      </c>
      <c r="D128" s="347">
        <f t="shared" si="168"/>
        <v>0</v>
      </c>
      <c r="E128" s="348">
        <f t="shared" si="169"/>
        <v>0</v>
      </c>
      <c r="F128" s="349">
        <f t="shared" ref="F128:F136" si="177">E128-D128</f>
        <v>0</v>
      </c>
      <c r="G128" s="356">
        <f t="shared" si="170"/>
        <v>0</v>
      </c>
      <c r="H128" s="357">
        <f t="shared" si="170"/>
        <v>0</v>
      </c>
      <c r="I128" s="303">
        <f t="shared" ref="I128:I136" si="178">H128-G128</f>
        <v>0</v>
      </c>
      <c r="J128" s="357">
        <f t="shared" si="171"/>
        <v>0</v>
      </c>
      <c r="K128" s="357">
        <f t="shared" si="171"/>
        <v>0</v>
      </c>
      <c r="L128" s="303">
        <f t="shared" si="172"/>
        <v>0</v>
      </c>
      <c r="M128" s="357">
        <f t="shared" si="173"/>
        <v>0</v>
      </c>
      <c r="N128" s="357">
        <f t="shared" si="173"/>
        <v>0</v>
      </c>
      <c r="O128" s="303">
        <f t="shared" si="174"/>
        <v>0</v>
      </c>
      <c r="P128" s="357">
        <f t="shared" si="175"/>
        <v>0</v>
      </c>
      <c r="Q128" s="358">
        <f t="shared" si="175"/>
        <v>0</v>
      </c>
      <c r="R128" s="304">
        <f t="shared" si="176"/>
        <v>0</v>
      </c>
    </row>
    <row r="129" spans="1:18" x14ac:dyDescent="0.25">
      <c r="A129" s="1282"/>
      <c r="B129" s="1284"/>
      <c r="C129" s="346" t="s">
        <v>27</v>
      </c>
      <c r="D129" s="347">
        <f t="shared" si="168"/>
        <v>0</v>
      </c>
      <c r="E129" s="348">
        <f t="shared" si="169"/>
        <v>0</v>
      </c>
      <c r="F129" s="349">
        <f t="shared" si="177"/>
        <v>0</v>
      </c>
      <c r="G129" s="356">
        <f t="shared" si="170"/>
        <v>0</v>
      </c>
      <c r="H129" s="357">
        <f t="shared" si="170"/>
        <v>0</v>
      </c>
      <c r="I129" s="303">
        <f t="shared" si="178"/>
        <v>0</v>
      </c>
      <c r="J129" s="357">
        <f t="shared" si="171"/>
        <v>0</v>
      </c>
      <c r="K129" s="357">
        <f t="shared" si="171"/>
        <v>0</v>
      </c>
      <c r="L129" s="303">
        <f t="shared" si="172"/>
        <v>0</v>
      </c>
      <c r="M129" s="357">
        <f t="shared" si="173"/>
        <v>0</v>
      </c>
      <c r="N129" s="357">
        <f t="shared" si="173"/>
        <v>0</v>
      </c>
      <c r="O129" s="303">
        <f t="shared" si="174"/>
        <v>0</v>
      </c>
      <c r="P129" s="357">
        <f t="shared" si="175"/>
        <v>0</v>
      </c>
      <c r="Q129" s="358">
        <f t="shared" si="175"/>
        <v>0</v>
      </c>
      <c r="R129" s="304">
        <f t="shared" si="176"/>
        <v>0</v>
      </c>
    </row>
    <row r="130" spans="1:18" x14ac:dyDescent="0.25">
      <c r="A130" s="1282"/>
      <c r="B130" s="1284"/>
      <c r="C130" s="346" t="s">
        <v>28</v>
      </c>
      <c r="D130" s="347">
        <f t="shared" si="168"/>
        <v>0</v>
      </c>
      <c r="E130" s="348">
        <f t="shared" si="169"/>
        <v>0</v>
      </c>
      <c r="F130" s="349">
        <f t="shared" si="177"/>
        <v>0</v>
      </c>
      <c r="G130" s="356">
        <f t="shared" si="170"/>
        <v>0</v>
      </c>
      <c r="H130" s="357">
        <f t="shared" si="170"/>
        <v>0</v>
      </c>
      <c r="I130" s="303">
        <f t="shared" si="178"/>
        <v>0</v>
      </c>
      <c r="J130" s="357">
        <f t="shared" si="171"/>
        <v>0</v>
      </c>
      <c r="K130" s="357">
        <f t="shared" si="171"/>
        <v>0</v>
      </c>
      <c r="L130" s="303">
        <f t="shared" si="172"/>
        <v>0</v>
      </c>
      <c r="M130" s="357">
        <f t="shared" si="173"/>
        <v>0</v>
      </c>
      <c r="N130" s="357">
        <f t="shared" si="173"/>
        <v>0</v>
      </c>
      <c r="O130" s="303">
        <f t="shared" si="174"/>
        <v>0</v>
      </c>
      <c r="P130" s="357">
        <f t="shared" si="175"/>
        <v>0</v>
      </c>
      <c r="Q130" s="358">
        <f t="shared" si="175"/>
        <v>0</v>
      </c>
      <c r="R130" s="304">
        <f t="shared" si="176"/>
        <v>0</v>
      </c>
    </row>
    <row r="131" spans="1:18" x14ac:dyDescent="0.25">
      <c r="A131" s="1282"/>
      <c r="B131" s="1284"/>
      <c r="C131" s="346" t="s">
        <v>29</v>
      </c>
      <c r="D131" s="347">
        <f t="shared" si="168"/>
        <v>0</v>
      </c>
      <c r="E131" s="348">
        <f t="shared" si="169"/>
        <v>0</v>
      </c>
      <c r="F131" s="349">
        <f t="shared" si="177"/>
        <v>0</v>
      </c>
      <c r="G131" s="356">
        <f t="shared" si="170"/>
        <v>0</v>
      </c>
      <c r="H131" s="357">
        <f t="shared" si="170"/>
        <v>0</v>
      </c>
      <c r="I131" s="303">
        <f t="shared" si="178"/>
        <v>0</v>
      </c>
      <c r="J131" s="357">
        <f t="shared" si="171"/>
        <v>0</v>
      </c>
      <c r="K131" s="357">
        <f t="shared" si="171"/>
        <v>0</v>
      </c>
      <c r="L131" s="303">
        <f t="shared" si="172"/>
        <v>0</v>
      </c>
      <c r="M131" s="357">
        <f t="shared" si="173"/>
        <v>0</v>
      </c>
      <c r="N131" s="357">
        <f t="shared" si="173"/>
        <v>0</v>
      </c>
      <c r="O131" s="303">
        <f t="shared" si="174"/>
        <v>0</v>
      </c>
      <c r="P131" s="357">
        <f t="shared" si="175"/>
        <v>0</v>
      </c>
      <c r="Q131" s="358">
        <f t="shared" si="175"/>
        <v>0</v>
      </c>
      <c r="R131" s="304">
        <f t="shared" si="176"/>
        <v>0</v>
      </c>
    </row>
    <row r="132" spans="1:18" x14ac:dyDescent="0.25">
      <c r="A132" s="1282"/>
      <c r="B132" s="1284"/>
      <c r="C132" s="346" t="s">
        <v>30</v>
      </c>
      <c r="D132" s="347">
        <f t="shared" si="168"/>
        <v>0</v>
      </c>
      <c r="E132" s="348">
        <f t="shared" si="169"/>
        <v>0</v>
      </c>
      <c r="F132" s="349">
        <f t="shared" si="177"/>
        <v>0</v>
      </c>
      <c r="G132" s="356">
        <f t="shared" si="170"/>
        <v>0</v>
      </c>
      <c r="H132" s="357">
        <f t="shared" si="170"/>
        <v>0</v>
      </c>
      <c r="I132" s="303">
        <f t="shared" si="178"/>
        <v>0</v>
      </c>
      <c r="J132" s="357">
        <f t="shared" si="171"/>
        <v>0</v>
      </c>
      <c r="K132" s="357">
        <f t="shared" si="171"/>
        <v>0</v>
      </c>
      <c r="L132" s="303">
        <f t="shared" si="172"/>
        <v>0</v>
      </c>
      <c r="M132" s="357">
        <f t="shared" si="173"/>
        <v>0</v>
      </c>
      <c r="N132" s="357">
        <f t="shared" si="173"/>
        <v>0</v>
      </c>
      <c r="O132" s="303">
        <f t="shared" si="174"/>
        <v>0</v>
      </c>
      <c r="P132" s="357">
        <f t="shared" si="175"/>
        <v>0</v>
      </c>
      <c r="Q132" s="358">
        <f t="shared" si="175"/>
        <v>0</v>
      </c>
      <c r="R132" s="304">
        <f t="shared" si="176"/>
        <v>0</v>
      </c>
    </row>
    <row r="133" spans="1:18" x14ac:dyDescent="0.25">
      <c r="A133" s="1282"/>
      <c r="B133" s="1284"/>
      <c r="C133" s="346" t="s">
        <v>31</v>
      </c>
      <c r="D133" s="347">
        <f t="shared" si="168"/>
        <v>0</v>
      </c>
      <c r="E133" s="348">
        <f t="shared" si="169"/>
        <v>0</v>
      </c>
      <c r="F133" s="349">
        <f t="shared" si="177"/>
        <v>0</v>
      </c>
      <c r="G133" s="356">
        <f t="shared" si="170"/>
        <v>0</v>
      </c>
      <c r="H133" s="357">
        <f t="shared" si="170"/>
        <v>0</v>
      </c>
      <c r="I133" s="303">
        <f t="shared" si="178"/>
        <v>0</v>
      </c>
      <c r="J133" s="357">
        <f t="shared" si="171"/>
        <v>0</v>
      </c>
      <c r="K133" s="357">
        <f t="shared" si="171"/>
        <v>0</v>
      </c>
      <c r="L133" s="303">
        <f t="shared" si="172"/>
        <v>0</v>
      </c>
      <c r="M133" s="357">
        <f t="shared" si="173"/>
        <v>0</v>
      </c>
      <c r="N133" s="357">
        <f t="shared" si="173"/>
        <v>0</v>
      </c>
      <c r="O133" s="303">
        <f t="shared" si="174"/>
        <v>0</v>
      </c>
      <c r="P133" s="357">
        <f t="shared" si="175"/>
        <v>0</v>
      </c>
      <c r="Q133" s="358">
        <f t="shared" si="175"/>
        <v>0</v>
      </c>
      <c r="R133" s="304">
        <f t="shared" si="176"/>
        <v>0</v>
      </c>
    </row>
    <row r="134" spans="1:18" x14ac:dyDescent="0.25">
      <c r="A134" s="1282"/>
      <c r="B134" s="1284"/>
      <c r="C134" s="346" t="s">
        <v>32</v>
      </c>
      <c r="D134" s="347">
        <f t="shared" si="168"/>
        <v>0</v>
      </c>
      <c r="E134" s="348">
        <f t="shared" si="169"/>
        <v>0</v>
      </c>
      <c r="F134" s="349">
        <f t="shared" si="177"/>
        <v>0</v>
      </c>
      <c r="G134" s="356">
        <f t="shared" si="170"/>
        <v>0</v>
      </c>
      <c r="H134" s="357">
        <f t="shared" si="170"/>
        <v>0</v>
      </c>
      <c r="I134" s="303">
        <f t="shared" si="178"/>
        <v>0</v>
      </c>
      <c r="J134" s="357">
        <f t="shared" si="171"/>
        <v>0</v>
      </c>
      <c r="K134" s="357">
        <f t="shared" si="171"/>
        <v>0</v>
      </c>
      <c r="L134" s="303">
        <f t="shared" si="172"/>
        <v>0</v>
      </c>
      <c r="M134" s="357">
        <f t="shared" si="173"/>
        <v>0</v>
      </c>
      <c r="N134" s="357">
        <f t="shared" si="173"/>
        <v>0</v>
      </c>
      <c r="O134" s="303">
        <f t="shared" si="174"/>
        <v>0</v>
      </c>
      <c r="P134" s="357">
        <f t="shared" si="175"/>
        <v>0</v>
      </c>
      <c r="Q134" s="358">
        <f t="shared" si="175"/>
        <v>0</v>
      </c>
      <c r="R134" s="304">
        <f t="shared" si="176"/>
        <v>0</v>
      </c>
    </row>
    <row r="135" spans="1:18" x14ac:dyDescent="0.25">
      <c r="A135" s="1282"/>
      <c r="B135" s="1284"/>
      <c r="C135" s="346" t="s">
        <v>33</v>
      </c>
      <c r="D135" s="347">
        <f t="shared" si="168"/>
        <v>0</v>
      </c>
      <c r="E135" s="348">
        <f t="shared" si="169"/>
        <v>0</v>
      </c>
      <c r="F135" s="349">
        <f t="shared" si="177"/>
        <v>0</v>
      </c>
      <c r="G135" s="356">
        <f t="shared" si="170"/>
        <v>0</v>
      </c>
      <c r="H135" s="357">
        <f t="shared" si="170"/>
        <v>0</v>
      </c>
      <c r="I135" s="303">
        <f t="shared" si="178"/>
        <v>0</v>
      </c>
      <c r="J135" s="357">
        <f t="shared" si="171"/>
        <v>0</v>
      </c>
      <c r="K135" s="357">
        <f t="shared" si="171"/>
        <v>0</v>
      </c>
      <c r="L135" s="303">
        <f t="shared" si="172"/>
        <v>0</v>
      </c>
      <c r="M135" s="357">
        <f t="shared" si="173"/>
        <v>0</v>
      </c>
      <c r="N135" s="357">
        <f t="shared" si="173"/>
        <v>0</v>
      </c>
      <c r="O135" s="303">
        <f t="shared" si="174"/>
        <v>0</v>
      </c>
      <c r="P135" s="357">
        <f t="shared" si="175"/>
        <v>0</v>
      </c>
      <c r="Q135" s="358">
        <f t="shared" si="175"/>
        <v>0</v>
      </c>
      <c r="R135" s="304">
        <f t="shared" si="176"/>
        <v>0</v>
      </c>
    </row>
    <row r="136" spans="1:18" ht="15.75" thickBot="1" x14ac:dyDescent="0.3">
      <c r="A136" s="1283"/>
      <c r="B136" s="1285"/>
      <c r="C136" s="359" t="s">
        <v>34</v>
      </c>
      <c r="D136" s="360">
        <f t="shared" si="168"/>
        <v>0</v>
      </c>
      <c r="E136" s="361">
        <f t="shared" si="169"/>
        <v>0</v>
      </c>
      <c r="F136" s="362">
        <f t="shared" si="177"/>
        <v>0</v>
      </c>
      <c r="G136" s="363">
        <f t="shared" si="170"/>
        <v>0</v>
      </c>
      <c r="H136" s="364">
        <f t="shared" si="170"/>
        <v>0</v>
      </c>
      <c r="I136" s="311">
        <f t="shared" si="178"/>
        <v>0</v>
      </c>
      <c r="J136" s="364">
        <f t="shared" si="171"/>
        <v>0</v>
      </c>
      <c r="K136" s="364">
        <f t="shared" si="171"/>
        <v>0</v>
      </c>
      <c r="L136" s="311">
        <f t="shared" si="172"/>
        <v>0</v>
      </c>
      <c r="M136" s="364">
        <f t="shared" si="173"/>
        <v>0</v>
      </c>
      <c r="N136" s="364">
        <f t="shared" si="173"/>
        <v>0</v>
      </c>
      <c r="O136" s="311">
        <f t="shared" si="174"/>
        <v>0</v>
      </c>
      <c r="P136" s="364">
        <f t="shared" si="175"/>
        <v>0</v>
      </c>
      <c r="Q136" s="365">
        <f t="shared" si="175"/>
        <v>0</v>
      </c>
      <c r="R136" s="312">
        <f t="shared" si="176"/>
        <v>0</v>
      </c>
    </row>
    <row r="137" spans="1:18" x14ac:dyDescent="0.25">
      <c r="A137" s="1282" t="s">
        <v>175</v>
      </c>
      <c r="B137" s="1284" t="s">
        <v>13</v>
      </c>
      <c r="C137" s="346" t="s">
        <v>25</v>
      </c>
      <c r="D137" s="347">
        <f t="shared" si="168"/>
        <v>0</v>
      </c>
      <c r="E137" s="348">
        <f t="shared" si="169"/>
        <v>0</v>
      </c>
      <c r="F137" s="349">
        <f t="shared" ref="F137:F166" si="179">I137+L137+O137+R137</f>
        <v>0</v>
      </c>
      <c r="G137" s="366">
        <f t="shared" ref="G137:H146" si="180">G6*G36</f>
        <v>0</v>
      </c>
      <c r="H137" s="367">
        <f t="shared" si="180"/>
        <v>0</v>
      </c>
      <c r="I137" s="295">
        <f>H137-G137</f>
        <v>0</v>
      </c>
      <c r="J137" s="367">
        <f t="shared" ref="J137:K146" si="181">J6*J36</f>
        <v>0</v>
      </c>
      <c r="K137" s="367">
        <f t="shared" si="181"/>
        <v>0</v>
      </c>
      <c r="L137" s="295">
        <f>K137-J137</f>
        <v>0</v>
      </c>
      <c r="M137" s="367">
        <f t="shared" ref="M137:N146" si="182">M6*M36</f>
        <v>0</v>
      </c>
      <c r="N137" s="367">
        <f t="shared" si="182"/>
        <v>0</v>
      </c>
      <c r="O137" s="295">
        <f>N137-M137</f>
        <v>0</v>
      </c>
      <c r="P137" s="367">
        <f t="shared" ref="P137:Q146" si="183">P6*P36</f>
        <v>0</v>
      </c>
      <c r="Q137" s="368">
        <f t="shared" si="183"/>
        <v>0</v>
      </c>
      <c r="R137" s="369">
        <f>Q137-P137</f>
        <v>0</v>
      </c>
    </row>
    <row r="138" spans="1:18" x14ac:dyDescent="0.25">
      <c r="A138" s="1282"/>
      <c r="B138" s="1284"/>
      <c r="C138" s="346" t="s">
        <v>26</v>
      </c>
      <c r="D138" s="347">
        <f t="shared" si="168"/>
        <v>0</v>
      </c>
      <c r="E138" s="348">
        <f t="shared" si="169"/>
        <v>0</v>
      </c>
      <c r="F138" s="349">
        <f t="shared" si="179"/>
        <v>0</v>
      </c>
      <c r="G138" s="356">
        <f t="shared" si="180"/>
        <v>0</v>
      </c>
      <c r="H138" s="357">
        <f t="shared" si="180"/>
        <v>0</v>
      </c>
      <c r="I138" s="303">
        <f t="shared" ref="I138:I146" si="184">H138-G138</f>
        <v>0</v>
      </c>
      <c r="J138" s="357">
        <f t="shared" si="181"/>
        <v>0</v>
      </c>
      <c r="K138" s="357">
        <f t="shared" si="181"/>
        <v>0</v>
      </c>
      <c r="L138" s="303">
        <f t="shared" ref="L138:L146" si="185">K138-J138</f>
        <v>0</v>
      </c>
      <c r="M138" s="357">
        <f t="shared" si="182"/>
        <v>0</v>
      </c>
      <c r="N138" s="357">
        <f t="shared" si="182"/>
        <v>0</v>
      </c>
      <c r="O138" s="303">
        <f t="shared" ref="O138:O146" si="186">N138-M138</f>
        <v>0</v>
      </c>
      <c r="P138" s="357">
        <f t="shared" si="183"/>
        <v>0</v>
      </c>
      <c r="Q138" s="358">
        <f t="shared" si="183"/>
        <v>0</v>
      </c>
      <c r="R138" s="304">
        <f t="shared" ref="R138:R146" si="187">Q138-P138</f>
        <v>0</v>
      </c>
    </row>
    <row r="139" spans="1:18" x14ac:dyDescent="0.25">
      <c r="A139" s="1282"/>
      <c r="B139" s="1284"/>
      <c r="C139" s="346" t="s">
        <v>27</v>
      </c>
      <c r="D139" s="347">
        <f t="shared" si="168"/>
        <v>0</v>
      </c>
      <c r="E139" s="348">
        <f t="shared" si="169"/>
        <v>0</v>
      </c>
      <c r="F139" s="349">
        <f t="shared" si="179"/>
        <v>0</v>
      </c>
      <c r="G139" s="356">
        <f t="shared" si="180"/>
        <v>0</v>
      </c>
      <c r="H139" s="357">
        <f t="shared" si="180"/>
        <v>0</v>
      </c>
      <c r="I139" s="303">
        <f t="shared" si="184"/>
        <v>0</v>
      </c>
      <c r="J139" s="357">
        <f t="shared" si="181"/>
        <v>0</v>
      </c>
      <c r="K139" s="357">
        <f t="shared" si="181"/>
        <v>0</v>
      </c>
      <c r="L139" s="303">
        <f t="shared" si="185"/>
        <v>0</v>
      </c>
      <c r="M139" s="357">
        <f t="shared" si="182"/>
        <v>0</v>
      </c>
      <c r="N139" s="357">
        <f t="shared" si="182"/>
        <v>0</v>
      </c>
      <c r="O139" s="303">
        <f t="shared" si="186"/>
        <v>0</v>
      </c>
      <c r="P139" s="357">
        <f t="shared" si="183"/>
        <v>0</v>
      </c>
      <c r="Q139" s="358">
        <f t="shared" si="183"/>
        <v>0</v>
      </c>
      <c r="R139" s="304">
        <f t="shared" si="187"/>
        <v>0</v>
      </c>
    </row>
    <row r="140" spans="1:18" x14ac:dyDescent="0.25">
      <c r="A140" s="1282"/>
      <c r="B140" s="1284"/>
      <c r="C140" s="346" t="s">
        <v>28</v>
      </c>
      <c r="D140" s="347">
        <f t="shared" si="168"/>
        <v>0</v>
      </c>
      <c r="E140" s="348">
        <f t="shared" si="169"/>
        <v>0</v>
      </c>
      <c r="F140" s="349">
        <f t="shared" si="179"/>
        <v>0</v>
      </c>
      <c r="G140" s="356">
        <f t="shared" si="180"/>
        <v>0</v>
      </c>
      <c r="H140" s="357">
        <f t="shared" si="180"/>
        <v>0</v>
      </c>
      <c r="I140" s="303">
        <f t="shared" si="184"/>
        <v>0</v>
      </c>
      <c r="J140" s="357">
        <f t="shared" si="181"/>
        <v>0</v>
      </c>
      <c r="K140" s="357">
        <f t="shared" si="181"/>
        <v>0</v>
      </c>
      <c r="L140" s="303">
        <f t="shared" si="185"/>
        <v>0</v>
      </c>
      <c r="M140" s="357">
        <f t="shared" si="182"/>
        <v>0</v>
      </c>
      <c r="N140" s="357">
        <f t="shared" si="182"/>
        <v>0</v>
      </c>
      <c r="O140" s="303">
        <f t="shared" si="186"/>
        <v>0</v>
      </c>
      <c r="P140" s="357">
        <f t="shared" si="183"/>
        <v>0</v>
      </c>
      <c r="Q140" s="358">
        <f t="shared" si="183"/>
        <v>0</v>
      </c>
      <c r="R140" s="304">
        <f t="shared" si="187"/>
        <v>0</v>
      </c>
    </row>
    <row r="141" spans="1:18" x14ac:dyDescent="0.25">
      <c r="A141" s="1282"/>
      <c r="B141" s="1284"/>
      <c r="C141" s="346" t="s">
        <v>29</v>
      </c>
      <c r="D141" s="347">
        <f t="shared" si="168"/>
        <v>0</v>
      </c>
      <c r="E141" s="348">
        <f t="shared" si="169"/>
        <v>0</v>
      </c>
      <c r="F141" s="349">
        <f t="shared" si="179"/>
        <v>0</v>
      </c>
      <c r="G141" s="356">
        <f t="shared" si="180"/>
        <v>0</v>
      </c>
      <c r="H141" s="357">
        <f t="shared" si="180"/>
        <v>0</v>
      </c>
      <c r="I141" s="303">
        <f t="shared" si="184"/>
        <v>0</v>
      </c>
      <c r="J141" s="357">
        <f t="shared" si="181"/>
        <v>0</v>
      </c>
      <c r="K141" s="357">
        <f t="shared" si="181"/>
        <v>0</v>
      </c>
      <c r="L141" s="303">
        <f t="shared" si="185"/>
        <v>0</v>
      </c>
      <c r="M141" s="357">
        <f t="shared" si="182"/>
        <v>0</v>
      </c>
      <c r="N141" s="357">
        <f t="shared" si="182"/>
        <v>0</v>
      </c>
      <c r="O141" s="303">
        <f t="shared" si="186"/>
        <v>0</v>
      </c>
      <c r="P141" s="357">
        <f t="shared" si="183"/>
        <v>0</v>
      </c>
      <c r="Q141" s="358">
        <f t="shared" si="183"/>
        <v>0</v>
      </c>
      <c r="R141" s="304">
        <f t="shared" si="187"/>
        <v>0</v>
      </c>
    </row>
    <row r="142" spans="1:18" x14ac:dyDescent="0.25">
      <c r="A142" s="1282"/>
      <c r="B142" s="1284"/>
      <c r="C142" s="346" t="s">
        <v>30</v>
      </c>
      <c r="D142" s="347">
        <f t="shared" si="168"/>
        <v>0</v>
      </c>
      <c r="E142" s="348">
        <f t="shared" si="169"/>
        <v>0</v>
      </c>
      <c r="F142" s="349">
        <f t="shared" si="179"/>
        <v>0</v>
      </c>
      <c r="G142" s="356">
        <f t="shared" si="180"/>
        <v>0</v>
      </c>
      <c r="H142" s="357">
        <f t="shared" si="180"/>
        <v>0</v>
      </c>
      <c r="I142" s="303">
        <f t="shared" si="184"/>
        <v>0</v>
      </c>
      <c r="J142" s="357">
        <f t="shared" si="181"/>
        <v>0</v>
      </c>
      <c r="K142" s="357">
        <f t="shared" si="181"/>
        <v>0</v>
      </c>
      <c r="L142" s="303">
        <f t="shared" si="185"/>
        <v>0</v>
      </c>
      <c r="M142" s="357">
        <f t="shared" si="182"/>
        <v>0</v>
      </c>
      <c r="N142" s="357">
        <f t="shared" si="182"/>
        <v>0</v>
      </c>
      <c r="O142" s="303">
        <f t="shared" si="186"/>
        <v>0</v>
      </c>
      <c r="P142" s="357">
        <f t="shared" si="183"/>
        <v>0</v>
      </c>
      <c r="Q142" s="358">
        <f t="shared" si="183"/>
        <v>0</v>
      </c>
      <c r="R142" s="304">
        <f t="shared" si="187"/>
        <v>0</v>
      </c>
    </row>
    <row r="143" spans="1:18" x14ac:dyDescent="0.25">
      <c r="A143" s="1282"/>
      <c r="B143" s="1284"/>
      <c r="C143" s="346" t="s">
        <v>31</v>
      </c>
      <c r="D143" s="347">
        <f t="shared" si="168"/>
        <v>0</v>
      </c>
      <c r="E143" s="348">
        <f t="shared" si="169"/>
        <v>0</v>
      </c>
      <c r="F143" s="349">
        <f t="shared" si="179"/>
        <v>0</v>
      </c>
      <c r="G143" s="356">
        <f t="shared" si="180"/>
        <v>0</v>
      </c>
      <c r="H143" s="357">
        <f t="shared" si="180"/>
        <v>0</v>
      </c>
      <c r="I143" s="303">
        <f t="shared" si="184"/>
        <v>0</v>
      </c>
      <c r="J143" s="357">
        <f t="shared" si="181"/>
        <v>0</v>
      </c>
      <c r="K143" s="357">
        <f t="shared" si="181"/>
        <v>0</v>
      </c>
      <c r="L143" s="303">
        <f t="shared" si="185"/>
        <v>0</v>
      </c>
      <c r="M143" s="357">
        <f t="shared" si="182"/>
        <v>0</v>
      </c>
      <c r="N143" s="357">
        <f t="shared" si="182"/>
        <v>0</v>
      </c>
      <c r="O143" s="303">
        <f t="shared" si="186"/>
        <v>0</v>
      </c>
      <c r="P143" s="357">
        <f t="shared" si="183"/>
        <v>0</v>
      </c>
      <c r="Q143" s="358">
        <f t="shared" si="183"/>
        <v>0</v>
      </c>
      <c r="R143" s="304">
        <f t="shared" si="187"/>
        <v>0</v>
      </c>
    </row>
    <row r="144" spans="1:18" x14ac:dyDescent="0.25">
      <c r="A144" s="1282"/>
      <c r="B144" s="1284"/>
      <c r="C144" s="346" t="s">
        <v>32</v>
      </c>
      <c r="D144" s="347">
        <f t="shared" si="168"/>
        <v>0</v>
      </c>
      <c r="E144" s="348">
        <f t="shared" si="169"/>
        <v>0</v>
      </c>
      <c r="F144" s="349">
        <f t="shared" si="179"/>
        <v>0</v>
      </c>
      <c r="G144" s="356">
        <f t="shared" si="180"/>
        <v>0</v>
      </c>
      <c r="H144" s="357">
        <f t="shared" si="180"/>
        <v>0</v>
      </c>
      <c r="I144" s="303">
        <f t="shared" si="184"/>
        <v>0</v>
      </c>
      <c r="J144" s="357">
        <f t="shared" si="181"/>
        <v>0</v>
      </c>
      <c r="K144" s="357">
        <f t="shared" si="181"/>
        <v>0</v>
      </c>
      <c r="L144" s="303">
        <f t="shared" si="185"/>
        <v>0</v>
      </c>
      <c r="M144" s="357">
        <f t="shared" si="182"/>
        <v>0</v>
      </c>
      <c r="N144" s="357">
        <f t="shared" si="182"/>
        <v>0</v>
      </c>
      <c r="O144" s="303">
        <f t="shared" si="186"/>
        <v>0</v>
      </c>
      <c r="P144" s="357">
        <f t="shared" si="183"/>
        <v>0</v>
      </c>
      <c r="Q144" s="358">
        <f t="shared" si="183"/>
        <v>0</v>
      </c>
      <c r="R144" s="304">
        <f t="shared" si="187"/>
        <v>0</v>
      </c>
    </row>
    <row r="145" spans="1:19" x14ac:dyDescent="0.25">
      <c r="A145" s="1282"/>
      <c r="B145" s="1284"/>
      <c r="C145" s="346" t="s">
        <v>33</v>
      </c>
      <c r="D145" s="347">
        <f t="shared" si="168"/>
        <v>0</v>
      </c>
      <c r="E145" s="348">
        <f t="shared" si="169"/>
        <v>0</v>
      </c>
      <c r="F145" s="349">
        <f t="shared" si="179"/>
        <v>0</v>
      </c>
      <c r="G145" s="356">
        <f t="shared" si="180"/>
        <v>0</v>
      </c>
      <c r="H145" s="357">
        <f t="shared" si="180"/>
        <v>0</v>
      </c>
      <c r="I145" s="303">
        <f t="shared" si="184"/>
        <v>0</v>
      </c>
      <c r="J145" s="357">
        <f t="shared" si="181"/>
        <v>0</v>
      </c>
      <c r="K145" s="357">
        <f t="shared" si="181"/>
        <v>0</v>
      </c>
      <c r="L145" s="303">
        <f t="shared" si="185"/>
        <v>0</v>
      </c>
      <c r="M145" s="357">
        <f t="shared" si="182"/>
        <v>0</v>
      </c>
      <c r="N145" s="357">
        <f t="shared" si="182"/>
        <v>0</v>
      </c>
      <c r="O145" s="303">
        <f t="shared" si="186"/>
        <v>0</v>
      </c>
      <c r="P145" s="357">
        <f t="shared" si="183"/>
        <v>0</v>
      </c>
      <c r="Q145" s="358">
        <f t="shared" si="183"/>
        <v>0</v>
      </c>
      <c r="R145" s="304">
        <f t="shared" si="187"/>
        <v>0</v>
      </c>
    </row>
    <row r="146" spans="1:19" ht="15.75" thickBot="1" x14ac:dyDescent="0.3">
      <c r="A146" s="1283"/>
      <c r="B146" s="1285"/>
      <c r="C146" s="359" t="s">
        <v>34</v>
      </c>
      <c r="D146" s="360">
        <f t="shared" si="168"/>
        <v>0</v>
      </c>
      <c r="E146" s="361">
        <f t="shared" si="169"/>
        <v>0</v>
      </c>
      <c r="F146" s="362">
        <f t="shared" si="179"/>
        <v>0</v>
      </c>
      <c r="G146" s="363">
        <f t="shared" si="180"/>
        <v>0</v>
      </c>
      <c r="H146" s="364">
        <f t="shared" si="180"/>
        <v>0</v>
      </c>
      <c r="I146" s="311">
        <f t="shared" si="184"/>
        <v>0</v>
      </c>
      <c r="J146" s="364">
        <f t="shared" si="181"/>
        <v>0</v>
      </c>
      <c r="K146" s="364">
        <f t="shared" si="181"/>
        <v>0</v>
      </c>
      <c r="L146" s="311">
        <f t="shared" si="185"/>
        <v>0</v>
      </c>
      <c r="M146" s="364">
        <f t="shared" si="182"/>
        <v>0</v>
      </c>
      <c r="N146" s="364">
        <f t="shared" si="182"/>
        <v>0</v>
      </c>
      <c r="O146" s="311">
        <f t="shared" si="186"/>
        <v>0</v>
      </c>
      <c r="P146" s="364">
        <f t="shared" si="183"/>
        <v>0</v>
      </c>
      <c r="Q146" s="365">
        <f t="shared" si="183"/>
        <v>0</v>
      </c>
      <c r="R146" s="312">
        <f t="shared" si="187"/>
        <v>0</v>
      </c>
    </row>
    <row r="147" spans="1:19" x14ac:dyDescent="0.25">
      <c r="A147" s="1282" t="s">
        <v>622</v>
      </c>
      <c r="B147" s="1284" t="s">
        <v>13</v>
      </c>
      <c r="C147" s="346" t="s">
        <v>25</v>
      </c>
      <c r="D147" s="347">
        <f t="shared" ref="D147:D156" si="188">G147+J147+M147+P147</f>
        <v>6103255.9208791219</v>
      </c>
      <c r="E147" s="348">
        <f t="shared" ref="E147:E156" si="189">H147+K147+N147+Q147</f>
        <v>6103255.9208791219</v>
      </c>
      <c r="F147" s="349">
        <f t="shared" ref="F147:F156" si="190">I147+L147+O147+R147</f>
        <v>0</v>
      </c>
      <c r="G147" s="366">
        <f>G6*G66</f>
        <v>4754226.19398381</v>
      </c>
      <c r="H147" s="367">
        <f>H6*H66</f>
        <v>4754226.19398381</v>
      </c>
      <c r="I147" s="295">
        <f>H147-G147</f>
        <v>0</v>
      </c>
      <c r="J147" s="367">
        <f>J6*J66</f>
        <v>1261516.8671488322</v>
      </c>
      <c r="K147" s="367">
        <f>K6*K66</f>
        <v>1261516.8671488322</v>
      </c>
      <c r="L147" s="295">
        <f>K147-J147</f>
        <v>0</v>
      </c>
      <c r="M147" s="367">
        <f>M6*M66</f>
        <v>78641.693142042001</v>
      </c>
      <c r="N147" s="367">
        <f>N6*N66</f>
        <v>78641.693142042001</v>
      </c>
      <c r="O147" s="295">
        <f>N147-M147</f>
        <v>0</v>
      </c>
      <c r="P147" s="367">
        <f>P6*P66</f>
        <v>8871.1666044376652</v>
      </c>
      <c r="Q147" s="368">
        <f>Q6*Q66</f>
        <v>8871.1666044376652</v>
      </c>
      <c r="R147" s="369">
        <f>Q147-P147</f>
        <v>0</v>
      </c>
    </row>
    <row r="148" spans="1:19" x14ac:dyDescent="0.25">
      <c r="A148" s="1282"/>
      <c r="B148" s="1284"/>
      <c r="C148" s="346" t="s">
        <v>26</v>
      </c>
      <c r="D148" s="347">
        <f t="shared" si="188"/>
        <v>6103255.9208791219</v>
      </c>
      <c r="E148" s="348">
        <f t="shared" si="189"/>
        <v>6103255.9208791219</v>
      </c>
      <c r="F148" s="349">
        <f t="shared" si="190"/>
        <v>0</v>
      </c>
      <c r="G148" s="356">
        <f t="shared" ref="G148" si="191">G7*G67</f>
        <v>4754226.19398381</v>
      </c>
      <c r="H148" s="357">
        <f t="shared" ref="H148:H156" si="192">H7*H67</f>
        <v>4754226.19398381</v>
      </c>
      <c r="I148" s="303">
        <f t="shared" ref="I148:I156" si="193">H148-G148</f>
        <v>0</v>
      </c>
      <c r="J148" s="357">
        <f t="shared" ref="J148" si="194">J7*J67</f>
        <v>1261516.8671488322</v>
      </c>
      <c r="K148" s="357">
        <f t="shared" ref="K148:K156" si="195">K7*K67</f>
        <v>1261516.8671488322</v>
      </c>
      <c r="L148" s="303">
        <f t="shared" ref="L148:L156" si="196">K148-J148</f>
        <v>0</v>
      </c>
      <c r="M148" s="357">
        <f t="shared" ref="M148" si="197">M7*M67</f>
        <v>78641.693142042001</v>
      </c>
      <c r="N148" s="357">
        <f t="shared" ref="N148:N156" si="198">N7*N67</f>
        <v>78641.693142042001</v>
      </c>
      <c r="O148" s="303">
        <f t="shared" ref="O148:O156" si="199">N148-M148</f>
        <v>0</v>
      </c>
      <c r="P148" s="357">
        <f t="shared" ref="P148" si="200">P7*P67</f>
        <v>8871.1666044376652</v>
      </c>
      <c r="Q148" s="358">
        <f t="shared" ref="Q148:Q156" si="201">Q7*Q67</f>
        <v>8871.1666044376652</v>
      </c>
      <c r="R148" s="304">
        <f t="shared" ref="R148:R156" si="202">Q148-P148</f>
        <v>0</v>
      </c>
    </row>
    <row r="149" spans="1:19" x14ac:dyDescent="0.25">
      <c r="A149" s="1282"/>
      <c r="B149" s="1284"/>
      <c r="C149" s="346" t="s">
        <v>27</v>
      </c>
      <c r="D149" s="347">
        <f t="shared" si="188"/>
        <v>6103255.9208791219</v>
      </c>
      <c r="E149" s="348">
        <f t="shared" si="189"/>
        <v>6103255.9208791219</v>
      </c>
      <c r="F149" s="349">
        <f t="shared" si="190"/>
        <v>0</v>
      </c>
      <c r="G149" s="356">
        <f t="shared" ref="G149" si="203">G8*G68</f>
        <v>4754226.19398381</v>
      </c>
      <c r="H149" s="357">
        <f t="shared" si="192"/>
        <v>4754226.19398381</v>
      </c>
      <c r="I149" s="303">
        <f t="shared" si="193"/>
        <v>0</v>
      </c>
      <c r="J149" s="357">
        <f t="shared" ref="J149" si="204">J8*J68</f>
        <v>1261516.8671488322</v>
      </c>
      <c r="K149" s="357">
        <f t="shared" si="195"/>
        <v>1261516.8671488322</v>
      </c>
      <c r="L149" s="303">
        <f t="shared" si="196"/>
        <v>0</v>
      </c>
      <c r="M149" s="357">
        <f t="shared" ref="M149" si="205">M8*M68</f>
        <v>78641.693142042001</v>
      </c>
      <c r="N149" s="357">
        <f t="shared" si="198"/>
        <v>78641.693142042001</v>
      </c>
      <c r="O149" s="303">
        <f t="shared" si="199"/>
        <v>0</v>
      </c>
      <c r="P149" s="357">
        <f t="shared" ref="P149" si="206">P8*P68</f>
        <v>8871.1666044376652</v>
      </c>
      <c r="Q149" s="358">
        <f t="shared" si="201"/>
        <v>8871.1666044376652</v>
      </c>
      <c r="R149" s="304">
        <f t="shared" si="202"/>
        <v>0</v>
      </c>
    </row>
    <row r="150" spans="1:19" x14ac:dyDescent="0.25">
      <c r="A150" s="1282"/>
      <c r="B150" s="1284"/>
      <c r="C150" s="346" t="s">
        <v>28</v>
      </c>
      <c r="D150" s="347">
        <f t="shared" si="188"/>
        <v>6103255.9208791219</v>
      </c>
      <c r="E150" s="348">
        <f t="shared" si="189"/>
        <v>7707660.8643582128</v>
      </c>
      <c r="F150" s="349">
        <f t="shared" si="190"/>
        <v>1604404.9434790902</v>
      </c>
      <c r="G150" s="356">
        <f t="shared" ref="G150" si="207">G9*G69</f>
        <v>4754226.19398381</v>
      </c>
      <c r="H150" s="357">
        <f t="shared" si="192"/>
        <v>6004002.3965433612</v>
      </c>
      <c r="I150" s="303">
        <f t="shared" si="193"/>
        <v>1249776.2025595512</v>
      </c>
      <c r="J150" s="357">
        <f t="shared" ref="J150" si="208">J9*J69</f>
        <v>1261516.8671488322</v>
      </c>
      <c r="K150" s="357">
        <f t="shared" si="195"/>
        <v>1593140.4995467186</v>
      </c>
      <c r="L150" s="303">
        <f t="shared" si="196"/>
        <v>331623.63239788637</v>
      </c>
      <c r="M150" s="357">
        <f t="shared" ref="M150" si="209">M9*M69</f>
        <v>78641.693142042001</v>
      </c>
      <c r="N150" s="357">
        <f t="shared" si="198"/>
        <v>99314.776964239602</v>
      </c>
      <c r="O150" s="303">
        <f t="shared" si="199"/>
        <v>20673.083822197601</v>
      </c>
      <c r="P150" s="357">
        <f t="shared" ref="P150" si="210">P9*P69</f>
        <v>8871.1666044376652</v>
      </c>
      <c r="Q150" s="358">
        <f t="shared" si="201"/>
        <v>11203.191303892881</v>
      </c>
      <c r="R150" s="304">
        <f t="shared" si="202"/>
        <v>2332.0246994552163</v>
      </c>
    </row>
    <row r="151" spans="1:19" x14ac:dyDescent="0.25">
      <c r="A151" s="1282"/>
      <c r="B151" s="1284"/>
      <c r="C151" s="346" t="s">
        <v>29</v>
      </c>
      <c r="D151" s="347">
        <f t="shared" si="188"/>
        <v>6103255.9208791219</v>
      </c>
      <c r="E151" s="348">
        <f t="shared" si="189"/>
        <v>7707660.8643582128</v>
      </c>
      <c r="F151" s="349">
        <f t="shared" si="190"/>
        <v>1604404.9434790902</v>
      </c>
      <c r="G151" s="356">
        <f t="shared" ref="G151" si="211">G10*G70</f>
        <v>4754226.19398381</v>
      </c>
      <c r="H151" s="357">
        <f t="shared" si="192"/>
        <v>6004002.3965433612</v>
      </c>
      <c r="I151" s="303">
        <f t="shared" si="193"/>
        <v>1249776.2025595512</v>
      </c>
      <c r="J151" s="357">
        <f t="shared" ref="J151" si="212">J10*J70</f>
        <v>1261516.8671488322</v>
      </c>
      <c r="K151" s="357">
        <f t="shared" si="195"/>
        <v>1593140.4995467186</v>
      </c>
      <c r="L151" s="303">
        <f t="shared" si="196"/>
        <v>331623.63239788637</v>
      </c>
      <c r="M151" s="357">
        <f t="shared" ref="M151" si="213">M10*M70</f>
        <v>78641.693142042001</v>
      </c>
      <c r="N151" s="357">
        <f t="shared" si="198"/>
        <v>99314.776964239602</v>
      </c>
      <c r="O151" s="303">
        <f t="shared" si="199"/>
        <v>20673.083822197601</v>
      </c>
      <c r="P151" s="357">
        <f t="shared" ref="P151" si="214">P10*P70</f>
        <v>8871.1666044376652</v>
      </c>
      <c r="Q151" s="358">
        <f t="shared" si="201"/>
        <v>11203.191303892881</v>
      </c>
      <c r="R151" s="304">
        <f t="shared" si="202"/>
        <v>2332.0246994552163</v>
      </c>
    </row>
    <row r="152" spans="1:19" x14ac:dyDescent="0.25">
      <c r="A152" s="1282"/>
      <c r="B152" s="1284"/>
      <c r="C152" s="346" t="s">
        <v>30</v>
      </c>
      <c r="D152" s="347">
        <f t="shared" si="188"/>
        <v>6103255.9208791219</v>
      </c>
      <c r="E152" s="348">
        <f t="shared" si="189"/>
        <v>7707660.8643582128</v>
      </c>
      <c r="F152" s="349">
        <f t="shared" si="190"/>
        <v>1604404.9434790902</v>
      </c>
      <c r="G152" s="356">
        <f t="shared" ref="G152" si="215">G11*G71</f>
        <v>4754226.19398381</v>
      </c>
      <c r="H152" s="357">
        <f t="shared" si="192"/>
        <v>6004002.3965433612</v>
      </c>
      <c r="I152" s="303">
        <f t="shared" si="193"/>
        <v>1249776.2025595512</v>
      </c>
      <c r="J152" s="357">
        <f t="shared" ref="J152" si="216">J11*J71</f>
        <v>1261516.8671488322</v>
      </c>
      <c r="K152" s="357">
        <f t="shared" si="195"/>
        <v>1593140.4995467186</v>
      </c>
      <c r="L152" s="303">
        <f t="shared" si="196"/>
        <v>331623.63239788637</v>
      </c>
      <c r="M152" s="357">
        <f t="shared" ref="M152" si="217">M11*M71</f>
        <v>78641.693142042001</v>
      </c>
      <c r="N152" s="357">
        <f t="shared" si="198"/>
        <v>99314.776964239602</v>
      </c>
      <c r="O152" s="303">
        <f t="shared" si="199"/>
        <v>20673.083822197601</v>
      </c>
      <c r="P152" s="357">
        <f t="shared" ref="P152" si="218">P11*P71</f>
        <v>8871.1666044376652</v>
      </c>
      <c r="Q152" s="358">
        <f t="shared" si="201"/>
        <v>11203.191303892881</v>
      </c>
      <c r="R152" s="304">
        <f t="shared" si="202"/>
        <v>2332.0246994552163</v>
      </c>
    </row>
    <row r="153" spans="1:19" x14ac:dyDescent="0.25">
      <c r="A153" s="1282"/>
      <c r="B153" s="1284"/>
      <c r="C153" s="346" t="s">
        <v>31</v>
      </c>
      <c r="D153" s="347">
        <f t="shared" si="188"/>
        <v>6103255.9208791219</v>
      </c>
      <c r="E153" s="348">
        <f t="shared" si="189"/>
        <v>7707660.8643582128</v>
      </c>
      <c r="F153" s="349">
        <f t="shared" si="190"/>
        <v>1604404.9434790902</v>
      </c>
      <c r="G153" s="356">
        <f t="shared" ref="G153" si="219">G12*G72</f>
        <v>4754226.19398381</v>
      </c>
      <c r="H153" s="357">
        <f t="shared" si="192"/>
        <v>6004002.3965433612</v>
      </c>
      <c r="I153" s="303">
        <f t="shared" si="193"/>
        <v>1249776.2025595512</v>
      </c>
      <c r="J153" s="357">
        <f t="shared" ref="J153" si="220">J12*J72</f>
        <v>1261516.8671488322</v>
      </c>
      <c r="K153" s="357">
        <f t="shared" si="195"/>
        <v>1593140.4995467186</v>
      </c>
      <c r="L153" s="303">
        <f t="shared" si="196"/>
        <v>331623.63239788637</v>
      </c>
      <c r="M153" s="357">
        <f t="shared" ref="M153" si="221">M12*M72</f>
        <v>78641.693142042001</v>
      </c>
      <c r="N153" s="357">
        <f t="shared" si="198"/>
        <v>99314.776964239602</v>
      </c>
      <c r="O153" s="303">
        <f t="shared" si="199"/>
        <v>20673.083822197601</v>
      </c>
      <c r="P153" s="357">
        <f t="shared" ref="P153" si="222">P12*P72</f>
        <v>8871.1666044376652</v>
      </c>
      <c r="Q153" s="358">
        <f t="shared" si="201"/>
        <v>11203.191303892881</v>
      </c>
      <c r="R153" s="304">
        <f t="shared" si="202"/>
        <v>2332.0246994552163</v>
      </c>
    </row>
    <row r="154" spans="1:19" x14ac:dyDescent="0.25">
      <c r="A154" s="1282"/>
      <c r="B154" s="1284"/>
      <c r="C154" s="346" t="s">
        <v>32</v>
      </c>
      <c r="D154" s="347">
        <f t="shared" si="188"/>
        <v>6103255.9208791219</v>
      </c>
      <c r="E154" s="348">
        <f t="shared" si="189"/>
        <v>7707660.8643582128</v>
      </c>
      <c r="F154" s="349">
        <f t="shared" si="190"/>
        <v>1604404.9434790902</v>
      </c>
      <c r="G154" s="356">
        <f t="shared" ref="G154" si="223">G13*G73</f>
        <v>4754226.19398381</v>
      </c>
      <c r="H154" s="357">
        <f t="shared" si="192"/>
        <v>6004002.3965433612</v>
      </c>
      <c r="I154" s="303">
        <f t="shared" si="193"/>
        <v>1249776.2025595512</v>
      </c>
      <c r="J154" s="357">
        <f t="shared" ref="J154" si="224">J13*J73</f>
        <v>1261516.8671488322</v>
      </c>
      <c r="K154" s="357">
        <f t="shared" si="195"/>
        <v>1593140.4995467186</v>
      </c>
      <c r="L154" s="303">
        <f t="shared" si="196"/>
        <v>331623.63239788637</v>
      </c>
      <c r="M154" s="357">
        <f t="shared" ref="M154" si="225">M13*M73</f>
        <v>78641.693142042001</v>
      </c>
      <c r="N154" s="357">
        <f t="shared" si="198"/>
        <v>99314.776964239602</v>
      </c>
      <c r="O154" s="303">
        <f t="shared" si="199"/>
        <v>20673.083822197601</v>
      </c>
      <c r="P154" s="357">
        <f t="shared" ref="P154" si="226">P13*P73</f>
        <v>8871.1666044376652</v>
      </c>
      <c r="Q154" s="358">
        <f t="shared" si="201"/>
        <v>11203.191303892881</v>
      </c>
      <c r="R154" s="304">
        <f t="shared" si="202"/>
        <v>2332.0246994552163</v>
      </c>
    </row>
    <row r="155" spans="1:19" x14ac:dyDescent="0.25">
      <c r="A155" s="1282"/>
      <c r="B155" s="1284"/>
      <c r="C155" s="346" t="s">
        <v>33</v>
      </c>
      <c r="D155" s="347">
        <f t="shared" si="188"/>
        <v>6103255.9208791219</v>
      </c>
      <c r="E155" s="348">
        <f t="shared" si="189"/>
        <v>7707660.8643582128</v>
      </c>
      <c r="F155" s="349">
        <f t="shared" si="190"/>
        <v>1604404.9434790902</v>
      </c>
      <c r="G155" s="356">
        <f t="shared" ref="G155" si="227">G14*G74</f>
        <v>4754226.19398381</v>
      </c>
      <c r="H155" s="357">
        <f t="shared" si="192"/>
        <v>6004002.3965433612</v>
      </c>
      <c r="I155" s="303">
        <f t="shared" si="193"/>
        <v>1249776.2025595512</v>
      </c>
      <c r="J155" s="357">
        <f t="shared" ref="J155" si="228">J14*J74</f>
        <v>1261516.8671488322</v>
      </c>
      <c r="K155" s="357">
        <f t="shared" si="195"/>
        <v>1593140.4995467186</v>
      </c>
      <c r="L155" s="303">
        <f t="shared" si="196"/>
        <v>331623.63239788637</v>
      </c>
      <c r="M155" s="357">
        <f t="shared" ref="M155" si="229">M14*M74</f>
        <v>78641.693142042001</v>
      </c>
      <c r="N155" s="357">
        <f t="shared" si="198"/>
        <v>99314.776964239602</v>
      </c>
      <c r="O155" s="303">
        <f t="shared" si="199"/>
        <v>20673.083822197601</v>
      </c>
      <c r="P155" s="357">
        <f t="shared" ref="P155" si="230">P14*P74</f>
        <v>8871.1666044376652</v>
      </c>
      <c r="Q155" s="358">
        <f t="shared" si="201"/>
        <v>11203.191303892881</v>
      </c>
      <c r="R155" s="304">
        <f t="shared" si="202"/>
        <v>2332.0246994552163</v>
      </c>
    </row>
    <row r="156" spans="1:19" ht="15.75" thickBot="1" x14ac:dyDescent="0.3">
      <c r="A156" s="1283"/>
      <c r="B156" s="1285"/>
      <c r="C156" s="359" t="s">
        <v>34</v>
      </c>
      <c r="D156" s="360">
        <f t="shared" si="188"/>
        <v>6103255.9208791219</v>
      </c>
      <c r="E156" s="361">
        <f t="shared" si="189"/>
        <v>7707660.8643582128</v>
      </c>
      <c r="F156" s="362">
        <f t="shared" si="190"/>
        <v>1604404.9434790902</v>
      </c>
      <c r="G156" s="363">
        <f t="shared" ref="G156" si="231">G15*G75</f>
        <v>4754226.19398381</v>
      </c>
      <c r="H156" s="364">
        <f t="shared" si="192"/>
        <v>6004002.3965433612</v>
      </c>
      <c r="I156" s="311">
        <f t="shared" si="193"/>
        <v>1249776.2025595512</v>
      </c>
      <c r="J156" s="364">
        <f t="shared" ref="J156" si="232">J15*J75</f>
        <v>1261516.8671488322</v>
      </c>
      <c r="K156" s="364">
        <f t="shared" si="195"/>
        <v>1593140.4995467186</v>
      </c>
      <c r="L156" s="311">
        <f t="shared" si="196"/>
        <v>331623.63239788637</v>
      </c>
      <c r="M156" s="364">
        <f t="shared" ref="M156" si="233">M15*M75</f>
        <v>78641.693142042001</v>
      </c>
      <c r="N156" s="364">
        <f t="shared" si="198"/>
        <v>99314.776964239602</v>
      </c>
      <c r="O156" s="311">
        <f t="shared" si="199"/>
        <v>20673.083822197601</v>
      </c>
      <c r="P156" s="364">
        <f t="shared" ref="P156" si="234">P15*P75</f>
        <v>8871.1666044376652</v>
      </c>
      <c r="Q156" s="365">
        <f t="shared" si="201"/>
        <v>11203.191303892881</v>
      </c>
      <c r="R156" s="312">
        <f t="shared" si="202"/>
        <v>2332.0246994552163</v>
      </c>
    </row>
    <row r="157" spans="1:19" x14ac:dyDescent="0.25">
      <c r="A157" s="1282" t="s">
        <v>39</v>
      </c>
      <c r="B157" s="1284" t="s">
        <v>13</v>
      </c>
      <c r="C157" s="346" t="s">
        <v>25</v>
      </c>
      <c r="D157" s="347">
        <f t="shared" si="168"/>
        <v>2123061.1667629513</v>
      </c>
      <c r="E157" s="348">
        <f t="shared" si="169"/>
        <v>2123061.1667629513</v>
      </c>
      <c r="F157" s="349">
        <f t="shared" si="179"/>
        <v>0</v>
      </c>
      <c r="G157" s="366">
        <f t="shared" ref="G157:G166" si="235">G76</f>
        <v>1653791.5403357965</v>
      </c>
      <c r="H157" s="367">
        <f t="shared" ref="H157:H166" si="236">H76*(1+$S$157)</f>
        <v>1653791.5403357965</v>
      </c>
      <c r="I157" s="295">
        <f>H157-G157</f>
        <v>0</v>
      </c>
      <c r="J157" s="367">
        <f t="shared" ref="J157:J166" si="237">J76</f>
        <v>438827.65307248663</v>
      </c>
      <c r="K157" s="367">
        <f t="shared" ref="K157:K166" si="238">K76*(1+$S$157)</f>
        <v>438827.65307248663</v>
      </c>
      <c r="L157" s="295">
        <f>K157-J157</f>
        <v>0</v>
      </c>
      <c r="M157" s="367">
        <f t="shared" ref="M157:M166" si="239">M76</f>
        <v>27356.074685838896</v>
      </c>
      <c r="N157" s="367">
        <f t="shared" ref="N157:N166" si="240">N76*(1+$S$157)</f>
        <v>27356.074685838896</v>
      </c>
      <c r="O157" s="295">
        <f>N157-M157</f>
        <v>0</v>
      </c>
      <c r="P157" s="367">
        <f t="shared" ref="P157:P166" si="241">P76</f>
        <v>3085.8986688293876</v>
      </c>
      <c r="Q157" s="368">
        <f t="shared" ref="Q157:Q166" si="242">Q76*(1+$S$157)</f>
        <v>3085.8986688293876</v>
      </c>
      <c r="R157" s="369">
        <f>Q157-P157</f>
        <v>0</v>
      </c>
      <c r="S157" s="297">
        <f>'Analyza citlivosti - AgendovéIS'!H7</f>
        <v>0</v>
      </c>
    </row>
    <row r="158" spans="1:19" x14ac:dyDescent="0.25">
      <c r="A158" s="1282"/>
      <c r="B158" s="1284"/>
      <c r="C158" s="346" t="s">
        <v>26</v>
      </c>
      <c r="D158" s="347">
        <f t="shared" si="168"/>
        <v>2123061.1667629513</v>
      </c>
      <c r="E158" s="348">
        <f t="shared" si="169"/>
        <v>2123061.1667629513</v>
      </c>
      <c r="F158" s="349">
        <f t="shared" si="179"/>
        <v>0</v>
      </c>
      <c r="G158" s="356">
        <f t="shared" si="235"/>
        <v>1653791.5403357965</v>
      </c>
      <c r="H158" s="357">
        <f t="shared" si="236"/>
        <v>1653791.5403357965</v>
      </c>
      <c r="I158" s="303">
        <f t="shared" ref="I158:I166" si="243">H158-G158</f>
        <v>0</v>
      </c>
      <c r="J158" s="357">
        <f t="shared" si="237"/>
        <v>438827.65307248663</v>
      </c>
      <c r="K158" s="357">
        <f t="shared" si="238"/>
        <v>438827.65307248663</v>
      </c>
      <c r="L158" s="303">
        <f t="shared" ref="L158:L166" si="244">K158-J158</f>
        <v>0</v>
      </c>
      <c r="M158" s="357">
        <f t="shared" si="239"/>
        <v>27356.074685838896</v>
      </c>
      <c r="N158" s="357">
        <f t="shared" si="240"/>
        <v>27356.074685838896</v>
      </c>
      <c r="O158" s="303">
        <f t="shared" ref="O158:O166" si="245">N158-M158</f>
        <v>0</v>
      </c>
      <c r="P158" s="357">
        <f t="shared" si="241"/>
        <v>3085.8986688293876</v>
      </c>
      <c r="Q158" s="358">
        <f t="shared" si="242"/>
        <v>3085.8986688293876</v>
      </c>
      <c r="R158" s="304">
        <f t="shared" ref="R158:R166" si="246">Q158-P158</f>
        <v>0</v>
      </c>
    </row>
    <row r="159" spans="1:19" x14ac:dyDescent="0.25">
      <c r="A159" s="1282"/>
      <c r="B159" s="1284"/>
      <c r="C159" s="346" t="s">
        <v>27</v>
      </c>
      <c r="D159" s="347">
        <f t="shared" si="168"/>
        <v>2123061.1667629513</v>
      </c>
      <c r="E159" s="348">
        <f t="shared" si="169"/>
        <v>2123061.1667629513</v>
      </c>
      <c r="F159" s="349">
        <f t="shared" si="179"/>
        <v>0</v>
      </c>
      <c r="G159" s="356">
        <f t="shared" si="235"/>
        <v>1653791.5403357965</v>
      </c>
      <c r="H159" s="357">
        <f t="shared" si="236"/>
        <v>1653791.5403357965</v>
      </c>
      <c r="I159" s="303">
        <f t="shared" si="243"/>
        <v>0</v>
      </c>
      <c r="J159" s="357">
        <f t="shared" si="237"/>
        <v>438827.65307248663</v>
      </c>
      <c r="K159" s="357">
        <f t="shared" si="238"/>
        <v>438827.65307248663</v>
      </c>
      <c r="L159" s="303">
        <f t="shared" si="244"/>
        <v>0</v>
      </c>
      <c r="M159" s="357">
        <f t="shared" si="239"/>
        <v>27356.074685838896</v>
      </c>
      <c r="N159" s="357">
        <f t="shared" si="240"/>
        <v>27356.074685838896</v>
      </c>
      <c r="O159" s="303">
        <f t="shared" si="245"/>
        <v>0</v>
      </c>
      <c r="P159" s="357">
        <f t="shared" si="241"/>
        <v>3085.8986688293876</v>
      </c>
      <c r="Q159" s="358">
        <f t="shared" si="242"/>
        <v>3085.8986688293876</v>
      </c>
      <c r="R159" s="304">
        <f t="shared" si="246"/>
        <v>0</v>
      </c>
    </row>
    <row r="160" spans="1:19" x14ac:dyDescent="0.25">
      <c r="A160" s="1282"/>
      <c r="B160" s="1284"/>
      <c r="C160" s="346" t="s">
        <v>28</v>
      </c>
      <c r="D160" s="347">
        <f t="shared" si="168"/>
        <v>2123061.1667629513</v>
      </c>
      <c r="E160" s="348">
        <f t="shared" si="169"/>
        <v>3083064.345743285</v>
      </c>
      <c r="F160" s="349">
        <f t="shared" si="179"/>
        <v>960003.17898033361</v>
      </c>
      <c r="G160" s="356">
        <f t="shared" si="235"/>
        <v>1653791.5403357965</v>
      </c>
      <c r="H160" s="357">
        <f t="shared" si="236"/>
        <v>2401600.9586173445</v>
      </c>
      <c r="I160" s="303">
        <f t="shared" si="243"/>
        <v>747809.41828154796</v>
      </c>
      <c r="J160" s="357">
        <f t="shared" si="237"/>
        <v>438827.65307248663</v>
      </c>
      <c r="K160" s="357">
        <f t="shared" si="238"/>
        <v>637256.19981868751</v>
      </c>
      <c r="L160" s="303">
        <f t="shared" si="244"/>
        <v>198428.54674620088</v>
      </c>
      <c r="M160" s="357">
        <f t="shared" si="239"/>
        <v>27356.074685838896</v>
      </c>
      <c r="N160" s="357">
        <f t="shared" si="240"/>
        <v>39725.910785695844</v>
      </c>
      <c r="O160" s="303">
        <f t="shared" si="245"/>
        <v>12369.836099856948</v>
      </c>
      <c r="P160" s="357">
        <f t="shared" si="241"/>
        <v>3085.8986688293876</v>
      </c>
      <c r="Q160" s="358">
        <f t="shared" si="242"/>
        <v>4481.2765215571535</v>
      </c>
      <c r="R160" s="304">
        <f t="shared" si="246"/>
        <v>1395.3778527277659</v>
      </c>
    </row>
    <row r="161" spans="1:18" x14ac:dyDescent="0.25">
      <c r="A161" s="1282"/>
      <c r="B161" s="1284"/>
      <c r="C161" s="346" t="s">
        <v>29</v>
      </c>
      <c r="D161" s="347">
        <f t="shared" si="168"/>
        <v>2123061.1667629513</v>
      </c>
      <c r="E161" s="348">
        <f t="shared" si="169"/>
        <v>3083064.345743285</v>
      </c>
      <c r="F161" s="349">
        <f t="shared" si="179"/>
        <v>960003.17898033361</v>
      </c>
      <c r="G161" s="356">
        <f t="shared" si="235"/>
        <v>1653791.5403357965</v>
      </c>
      <c r="H161" s="357">
        <f t="shared" si="236"/>
        <v>2401600.9586173445</v>
      </c>
      <c r="I161" s="303">
        <f t="shared" si="243"/>
        <v>747809.41828154796</v>
      </c>
      <c r="J161" s="357">
        <f t="shared" si="237"/>
        <v>438827.65307248663</v>
      </c>
      <c r="K161" s="357">
        <f t="shared" si="238"/>
        <v>637256.19981868751</v>
      </c>
      <c r="L161" s="303">
        <f t="shared" si="244"/>
        <v>198428.54674620088</v>
      </c>
      <c r="M161" s="357">
        <f t="shared" si="239"/>
        <v>27356.074685838896</v>
      </c>
      <c r="N161" s="357">
        <f t="shared" si="240"/>
        <v>39725.910785695844</v>
      </c>
      <c r="O161" s="303">
        <f t="shared" si="245"/>
        <v>12369.836099856948</v>
      </c>
      <c r="P161" s="357">
        <f t="shared" si="241"/>
        <v>3085.8986688293876</v>
      </c>
      <c r="Q161" s="358">
        <f t="shared" si="242"/>
        <v>4481.2765215571535</v>
      </c>
      <c r="R161" s="304">
        <f t="shared" si="246"/>
        <v>1395.3778527277659</v>
      </c>
    </row>
    <row r="162" spans="1:18" x14ac:dyDescent="0.25">
      <c r="A162" s="1282"/>
      <c r="B162" s="1284"/>
      <c r="C162" s="346" t="s">
        <v>30</v>
      </c>
      <c r="D162" s="347">
        <f t="shared" si="168"/>
        <v>2123061.1667629513</v>
      </c>
      <c r="E162" s="348">
        <f t="shared" si="169"/>
        <v>3083064.345743285</v>
      </c>
      <c r="F162" s="349">
        <f t="shared" si="179"/>
        <v>960003.17898033361</v>
      </c>
      <c r="G162" s="356">
        <f t="shared" si="235"/>
        <v>1653791.5403357965</v>
      </c>
      <c r="H162" s="357">
        <f t="shared" si="236"/>
        <v>2401600.9586173445</v>
      </c>
      <c r="I162" s="303">
        <f t="shared" si="243"/>
        <v>747809.41828154796</v>
      </c>
      <c r="J162" s="357">
        <f t="shared" si="237"/>
        <v>438827.65307248663</v>
      </c>
      <c r="K162" s="357">
        <f t="shared" si="238"/>
        <v>637256.19981868751</v>
      </c>
      <c r="L162" s="303">
        <f t="shared" si="244"/>
        <v>198428.54674620088</v>
      </c>
      <c r="M162" s="357">
        <f t="shared" si="239"/>
        <v>27356.074685838896</v>
      </c>
      <c r="N162" s="357">
        <f t="shared" si="240"/>
        <v>39725.910785695844</v>
      </c>
      <c r="O162" s="303">
        <f t="shared" si="245"/>
        <v>12369.836099856948</v>
      </c>
      <c r="P162" s="357">
        <f t="shared" si="241"/>
        <v>3085.8986688293876</v>
      </c>
      <c r="Q162" s="358">
        <f t="shared" si="242"/>
        <v>4481.2765215571535</v>
      </c>
      <c r="R162" s="304">
        <f t="shared" si="246"/>
        <v>1395.3778527277659</v>
      </c>
    </row>
    <row r="163" spans="1:18" x14ac:dyDescent="0.25">
      <c r="A163" s="1282"/>
      <c r="B163" s="1284"/>
      <c r="C163" s="346" t="s">
        <v>31</v>
      </c>
      <c r="D163" s="347">
        <f t="shared" si="168"/>
        <v>2123061.1667629513</v>
      </c>
      <c r="E163" s="348">
        <f t="shared" si="169"/>
        <v>3083064.345743285</v>
      </c>
      <c r="F163" s="349">
        <f t="shared" si="179"/>
        <v>960003.17898033361</v>
      </c>
      <c r="G163" s="356">
        <f t="shared" si="235"/>
        <v>1653791.5403357965</v>
      </c>
      <c r="H163" s="357">
        <f t="shared" si="236"/>
        <v>2401600.9586173445</v>
      </c>
      <c r="I163" s="303">
        <f t="shared" si="243"/>
        <v>747809.41828154796</v>
      </c>
      <c r="J163" s="357">
        <f t="shared" si="237"/>
        <v>438827.65307248663</v>
      </c>
      <c r="K163" s="357">
        <f t="shared" si="238"/>
        <v>637256.19981868751</v>
      </c>
      <c r="L163" s="303">
        <f t="shared" si="244"/>
        <v>198428.54674620088</v>
      </c>
      <c r="M163" s="357">
        <f t="shared" si="239"/>
        <v>27356.074685838896</v>
      </c>
      <c r="N163" s="357">
        <f t="shared" si="240"/>
        <v>39725.910785695844</v>
      </c>
      <c r="O163" s="303">
        <f t="shared" si="245"/>
        <v>12369.836099856948</v>
      </c>
      <c r="P163" s="357">
        <f t="shared" si="241"/>
        <v>3085.8986688293876</v>
      </c>
      <c r="Q163" s="358">
        <f t="shared" si="242"/>
        <v>4481.2765215571535</v>
      </c>
      <c r="R163" s="304">
        <f t="shared" si="246"/>
        <v>1395.3778527277659</v>
      </c>
    </row>
    <row r="164" spans="1:18" x14ac:dyDescent="0.25">
      <c r="A164" s="1282"/>
      <c r="B164" s="1284"/>
      <c r="C164" s="346" t="s">
        <v>32</v>
      </c>
      <c r="D164" s="347">
        <f t="shared" si="168"/>
        <v>2123061.1667629513</v>
      </c>
      <c r="E164" s="348">
        <f t="shared" si="169"/>
        <v>3083064.345743285</v>
      </c>
      <c r="F164" s="349">
        <f t="shared" si="179"/>
        <v>960003.17898033361</v>
      </c>
      <c r="G164" s="356">
        <f t="shared" si="235"/>
        <v>1653791.5403357965</v>
      </c>
      <c r="H164" s="357">
        <f t="shared" si="236"/>
        <v>2401600.9586173445</v>
      </c>
      <c r="I164" s="303">
        <f t="shared" si="243"/>
        <v>747809.41828154796</v>
      </c>
      <c r="J164" s="357">
        <f t="shared" si="237"/>
        <v>438827.65307248663</v>
      </c>
      <c r="K164" s="357">
        <f t="shared" si="238"/>
        <v>637256.19981868751</v>
      </c>
      <c r="L164" s="303">
        <f t="shared" si="244"/>
        <v>198428.54674620088</v>
      </c>
      <c r="M164" s="357">
        <f t="shared" si="239"/>
        <v>27356.074685838896</v>
      </c>
      <c r="N164" s="357">
        <f t="shared" si="240"/>
        <v>39725.910785695844</v>
      </c>
      <c r="O164" s="303">
        <f t="shared" si="245"/>
        <v>12369.836099856948</v>
      </c>
      <c r="P164" s="357">
        <f t="shared" si="241"/>
        <v>3085.8986688293876</v>
      </c>
      <c r="Q164" s="358">
        <f t="shared" si="242"/>
        <v>4481.2765215571535</v>
      </c>
      <c r="R164" s="304">
        <f t="shared" si="246"/>
        <v>1395.3778527277659</v>
      </c>
    </row>
    <row r="165" spans="1:18" x14ac:dyDescent="0.25">
      <c r="A165" s="1282"/>
      <c r="B165" s="1284"/>
      <c r="C165" s="346" t="s">
        <v>33</v>
      </c>
      <c r="D165" s="347">
        <f t="shared" si="168"/>
        <v>2123061.1667629513</v>
      </c>
      <c r="E165" s="348">
        <f t="shared" si="169"/>
        <v>3083064.345743285</v>
      </c>
      <c r="F165" s="349">
        <f t="shared" si="179"/>
        <v>960003.17898033361</v>
      </c>
      <c r="G165" s="356">
        <f t="shared" si="235"/>
        <v>1653791.5403357965</v>
      </c>
      <c r="H165" s="357">
        <f t="shared" si="236"/>
        <v>2401600.9586173445</v>
      </c>
      <c r="I165" s="303">
        <f t="shared" si="243"/>
        <v>747809.41828154796</v>
      </c>
      <c r="J165" s="357">
        <f t="shared" si="237"/>
        <v>438827.65307248663</v>
      </c>
      <c r="K165" s="357">
        <f t="shared" si="238"/>
        <v>637256.19981868751</v>
      </c>
      <c r="L165" s="303">
        <f t="shared" si="244"/>
        <v>198428.54674620088</v>
      </c>
      <c r="M165" s="357">
        <f t="shared" si="239"/>
        <v>27356.074685838896</v>
      </c>
      <c r="N165" s="357">
        <f t="shared" si="240"/>
        <v>39725.910785695844</v>
      </c>
      <c r="O165" s="303">
        <f t="shared" si="245"/>
        <v>12369.836099856948</v>
      </c>
      <c r="P165" s="357">
        <f t="shared" si="241"/>
        <v>3085.8986688293876</v>
      </c>
      <c r="Q165" s="358">
        <f t="shared" si="242"/>
        <v>4481.2765215571535</v>
      </c>
      <c r="R165" s="304">
        <f t="shared" si="246"/>
        <v>1395.3778527277659</v>
      </c>
    </row>
    <row r="166" spans="1:18" ht="15.75" thickBot="1" x14ac:dyDescent="0.3">
      <c r="A166" s="1283"/>
      <c r="B166" s="1285"/>
      <c r="C166" s="359" t="s">
        <v>34</v>
      </c>
      <c r="D166" s="360">
        <f t="shared" si="168"/>
        <v>2123061.1667629513</v>
      </c>
      <c r="E166" s="361">
        <f t="shared" si="169"/>
        <v>3083064.345743285</v>
      </c>
      <c r="F166" s="362">
        <f t="shared" si="179"/>
        <v>960003.17898033361</v>
      </c>
      <c r="G166" s="363">
        <f t="shared" si="235"/>
        <v>1653791.5403357965</v>
      </c>
      <c r="H166" s="364">
        <f t="shared" si="236"/>
        <v>2401600.9586173445</v>
      </c>
      <c r="I166" s="311">
        <f t="shared" si="243"/>
        <v>747809.41828154796</v>
      </c>
      <c r="J166" s="364">
        <f t="shared" si="237"/>
        <v>438827.65307248663</v>
      </c>
      <c r="K166" s="364">
        <f t="shared" si="238"/>
        <v>637256.19981868751</v>
      </c>
      <c r="L166" s="311">
        <f t="shared" si="244"/>
        <v>198428.54674620088</v>
      </c>
      <c r="M166" s="364">
        <f t="shared" si="239"/>
        <v>27356.074685838896</v>
      </c>
      <c r="N166" s="364">
        <f t="shared" si="240"/>
        <v>39725.910785695844</v>
      </c>
      <c r="O166" s="311">
        <f t="shared" si="245"/>
        <v>12369.836099856948</v>
      </c>
      <c r="P166" s="364">
        <f t="shared" si="241"/>
        <v>3085.8986688293876</v>
      </c>
      <c r="Q166" s="365">
        <f t="shared" si="242"/>
        <v>4481.2765215571535</v>
      </c>
      <c r="R166" s="312">
        <f t="shared" si="246"/>
        <v>1395.3778527277659</v>
      </c>
    </row>
  </sheetData>
  <sheetProtection insertColumns="0" deleteColumns="0"/>
  <mergeCells count="49">
    <mergeCell ref="A16:A25"/>
    <mergeCell ref="B16:B25"/>
    <mergeCell ref="A46:A55"/>
    <mergeCell ref="B46:B55"/>
    <mergeCell ref="A76:A85"/>
    <mergeCell ref="B76:B85"/>
    <mergeCell ref="A56:A65"/>
    <mergeCell ref="B56:B65"/>
    <mergeCell ref="A66:A75"/>
    <mergeCell ref="B66:B75"/>
    <mergeCell ref="J1:L1"/>
    <mergeCell ref="D1:F1"/>
    <mergeCell ref="G1:I1"/>
    <mergeCell ref="G3:I3"/>
    <mergeCell ref="J3:L3"/>
    <mergeCell ref="G2:I2"/>
    <mergeCell ref="J2:L2"/>
    <mergeCell ref="M1:O1"/>
    <mergeCell ref="P1:R1"/>
    <mergeCell ref="A87:A96"/>
    <mergeCell ref="B87:B96"/>
    <mergeCell ref="A157:A166"/>
    <mergeCell ref="B157:B166"/>
    <mergeCell ref="A127:A136"/>
    <mergeCell ref="B127:B136"/>
    <mergeCell ref="A107:A116"/>
    <mergeCell ref="B107:B116"/>
    <mergeCell ref="A137:A146"/>
    <mergeCell ref="B137:B146"/>
    <mergeCell ref="A117:A126"/>
    <mergeCell ref="B117:B126"/>
    <mergeCell ref="A97:A106"/>
    <mergeCell ref="B97:B106"/>
    <mergeCell ref="A147:A156"/>
    <mergeCell ref="B147:B156"/>
    <mergeCell ref="M2:O2"/>
    <mergeCell ref="P2:R2"/>
    <mergeCell ref="M3:O3"/>
    <mergeCell ref="P3:R3"/>
    <mergeCell ref="G4:I4"/>
    <mergeCell ref="J4:L4"/>
    <mergeCell ref="M4:O4"/>
    <mergeCell ref="P4:R4"/>
    <mergeCell ref="A6:A15"/>
    <mergeCell ref="B6:B15"/>
    <mergeCell ref="A26:A35"/>
    <mergeCell ref="B26:B35"/>
    <mergeCell ref="A36:A45"/>
    <mergeCell ref="B36:B45"/>
  </mergeCells>
  <pageMargins left="0.7" right="0.7" top="0.75" bottom="0.75" header="0.3" footer="0.3"/>
  <pageSetup paperSize="9" scale="33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M44"/>
  <sheetViews>
    <sheetView showGridLines="0" zoomScaleNormal="100" workbookViewId="0">
      <selection activeCell="C16" sqref="C16"/>
    </sheetView>
  </sheetViews>
  <sheetFormatPr defaultColWidth="8.85546875" defaultRowHeight="15" outlineLevelCol="1" x14ac:dyDescent="0.25"/>
  <cols>
    <col min="2" max="2" width="54.140625" customWidth="1"/>
    <col min="3" max="3" width="18.85546875" customWidth="1"/>
    <col min="4" max="13" width="16" customWidth="1" outlineLevel="1"/>
  </cols>
  <sheetData>
    <row r="1" spans="1:13" ht="21" x14ac:dyDescent="0.35">
      <c r="A1" s="98" t="s">
        <v>98</v>
      </c>
      <c r="B1" s="99"/>
      <c r="E1" s="88"/>
      <c r="F1" s="88"/>
      <c r="G1" s="88"/>
      <c r="H1" s="88"/>
      <c r="I1" s="88"/>
      <c r="J1" s="88"/>
      <c r="K1" s="88"/>
      <c r="L1" s="88"/>
      <c r="M1" s="84"/>
    </row>
    <row r="2" spans="1:13" ht="15.75" x14ac:dyDescent="0.25">
      <c r="A2" s="100"/>
      <c r="B2" s="86"/>
      <c r="D2" s="86"/>
      <c r="E2" s="86"/>
      <c r="F2" s="86"/>
      <c r="G2" s="86"/>
      <c r="H2" s="86"/>
      <c r="I2" s="86"/>
      <c r="J2" s="86"/>
      <c r="K2" s="86"/>
      <c r="L2" s="86"/>
      <c r="M2" s="80"/>
    </row>
    <row r="3" spans="1:13" ht="15.75" x14ac:dyDescent="0.25">
      <c r="A3" s="172" t="s">
        <v>630</v>
      </c>
      <c r="B3" s="86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x14ac:dyDescent="0.25">
      <c r="D4" s="81"/>
      <c r="E4" s="81"/>
      <c r="F4" s="81"/>
      <c r="G4" s="81"/>
      <c r="H4" s="81"/>
      <c r="I4" s="81"/>
      <c r="J4" s="81"/>
      <c r="K4" s="81"/>
      <c r="L4" s="81"/>
      <c r="M4" s="81"/>
    </row>
    <row r="5" spans="1:13" ht="15.75" thickBot="1" x14ac:dyDescent="0.3">
      <c r="B5" s="81"/>
      <c r="C5" s="85"/>
      <c r="D5" s="1308" t="s">
        <v>99</v>
      </c>
      <c r="E5" s="1308"/>
      <c r="F5" s="1308"/>
      <c r="G5" s="1308"/>
      <c r="H5" s="1308"/>
      <c r="I5" s="1308"/>
      <c r="J5" s="1308"/>
      <c r="K5" s="1308"/>
      <c r="L5" s="1308"/>
      <c r="M5" s="1308"/>
    </row>
    <row r="6" spans="1:13" x14ac:dyDescent="0.25">
      <c r="A6" s="141"/>
      <c r="B6" s="167" t="s">
        <v>156</v>
      </c>
      <c r="C6" s="92" t="s">
        <v>103</v>
      </c>
      <c r="D6" s="105" t="s">
        <v>25</v>
      </c>
      <c r="E6" s="106" t="s">
        <v>26</v>
      </c>
      <c r="F6" s="106" t="s">
        <v>27</v>
      </c>
      <c r="G6" s="106" t="s">
        <v>28</v>
      </c>
      <c r="H6" s="106" t="s">
        <v>29</v>
      </c>
      <c r="I6" s="106" t="s">
        <v>30</v>
      </c>
      <c r="J6" s="106" t="s">
        <v>31</v>
      </c>
      <c r="K6" s="106" t="s">
        <v>32</v>
      </c>
      <c r="L6" s="106" t="s">
        <v>33</v>
      </c>
      <c r="M6" s="107" t="s">
        <v>34</v>
      </c>
    </row>
    <row r="7" spans="1:13" x14ac:dyDescent="0.25">
      <c r="A7" s="170"/>
      <c r="B7" s="168" t="s">
        <v>106</v>
      </c>
      <c r="C7" s="93">
        <f t="shared" ref="C7:C14" si="0">SUM(D7:M7)</f>
        <v>0</v>
      </c>
      <c r="D7" s="108">
        <f>'TCO TO BE- SW'!$F5+'TCO TO BE- SW'!$F15</f>
        <v>0</v>
      </c>
      <c r="E7" s="90">
        <f>'TCO TO BE- SW'!$F6+'TCO TO BE- SW'!$F16</f>
        <v>0</v>
      </c>
      <c r="F7" s="90">
        <f>'TCO TO BE- SW'!$F7+'TCO TO BE- SW'!$F17</f>
        <v>0</v>
      </c>
      <c r="G7" s="90">
        <f>'TCO TO BE- SW'!$F8+'TCO TO BE- SW'!$F18</f>
        <v>0</v>
      </c>
      <c r="H7" s="90">
        <f>'TCO TO BE- SW'!$F9+'TCO TO BE- SW'!$F19</f>
        <v>0</v>
      </c>
      <c r="I7" s="90">
        <f>'TCO TO BE- SW'!$F10+'TCO TO BE- SW'!$F20</f>
        <v>0</v>
      </c>
      <c r="J7" s="90">
        <f>'TCO TO BE- SW'!$F11+'TCO TO BE- SW'!$F21</f>
        <v>0</v>
      </c>
      <c r="K7" s="90">
        <f>'TCO TO BE- SW'!$F12+'TCO TO BE- SW'!$F22</f>
        <v>0</v>
      </c>
      <c r="L7" s="90">
        <f>'TCO TO BE- SW'!$F13+'TCO TO BE- SW'!$F23</f>
        <v>0</v>
      </c>
      <c r="M7" s="109">
        <f>'TCO TO BE- SW'!$F14+'TCO TO BE- SW'!$F24</f>
        <v>0</v>
      </c>
    </row>
    <row r="8" spans="1:13" x14ac:dyDescent="0.25">
      <c r="A8" s="170"/>
      <c r="B8" s="168" t="s">
        <v>107</v>
      </c>
      <c r="C8" s="93">
        <f t="shared" si="0"/>
        <v>0</v>
      </c>
      <c r="D8" s="108">
        <f>'TCO TO BE- SW'!$F58+'TCO TO BE- SW'!$F68</f>
        <v>0</v>
      </c>
      <c r="E8" s="90">
        <f>'TCO TO BE- SW'!$F59+'TCO TO BE- SW'!$F69</f>
        <v>0</v>
      </c>
      <c r="F8" s="90">
        <f>'TCO TO BE- SW'!$F60+'TCO TO BE- SW'!$F70</f>
        <v>0</v>
      </c>
      <c r="G8" s="90">
        <f>'TCO TO BE- SW'!$F61+'TCO TO BE- SW'!$F71</f>
        <v>0</v>
      </c>
      <c r="H8" s="90">
        <f>'TCO TO BE- SW'!$F62+'TCO TO BE- SW'!$F72</f>
        <v>0</v>
      </c>
      <c r="I8" s="90">
        <f>'TCO TO BE- SW'!$F63+'TCO TO BE- SW'!$F73</f>
        <v>0</v>
      </c>
      <c r="J8" s="90">
        <f>'TCO TO BE- SW'!$F64+'TCO TO BE- SW'!$F74</f>
        <v>0</v>
      </c>
      <c r="K8" s="90">
        <f>'TCO TO BE- SW'!$F65+'TCO TO BE- SW'!$F75</f>
        <v>0</v>
      </c>
      <c r="L8" s="90">
        <f>'TCO TO BE- SW'!$F66+'TCO TO BE- SW'!$F76</f>
        <v>0</v>
      </c>
      <c r="M8" s="109">
        <f>'TCO TO BE- SW'!$F67+'TCO TO BE- SW'!$F77</f>
        <v>0</v>
      </c>
    </row>
    <row r="9" spans="1:13" x14ac:dyDescent="0.25">
      <c r="A9" s="170"/>
      <c r="B9" s="168" t="s">
        <v>108</v>
      </c>
      <c r="C9" s="93">
        <f t="shared" si="0"/>
        <v>3414883.2</v>
      </c>
      <c r="D9" s="108">
        <f>'TCO TO BE- SW'!$F26+'TCO TO BE- SW'!$F36+'TCO TO BE- SW'!$F46</f>
        <v>1327074.1000000001</v>
      </c>
      <c r="E9" s="90">
        <f>'TCO TO BE- SW'!$F27+'TCO TO BE- SW'!$F37+'TCO TO BE- SW'!$F47</f>
        <v>2030154.18</v>
      </c>
      <c r="F9" s="90">
        <f>'TCO TO BE- SW'!$F28+'TCO TO BE- SW'!$F38+'TCO TO BE- SW'!$F48</f>
        <v>57654.92</v>
      </c>
      <c r="G9" s="90">
        <f>'TCO TO BE- SW'!$F29+'TCO TO BE- SW'!$F39+'TCO TO BE- SW'!$F49</f>
        <v>0</v>
      </c>
      <c r="H9" s="90">
        <f>'TCO TO BE- SW'!$F30+'TCO TO BE- SW'!$F40+'TCO TO BE- SW'!$F50</f>
        <v>0</v>
      </c>
      <c r="I9" s="90">
        <f>'TCO TO BE- SW'!$F31+'TCO TO BE- SW'!$F41+'TCO TO BE- SW'!$F51</f>
        <v>0</v>
      </c>
      <c r="J9" s="90">
        <f>'TCO TO BE- SW'!$F32+'TCO TO BE- SW'!$F42+'TCO TO BE- SW'!$F52</f>
        <v>0</v>
      </c>
      <c r="K9" s="90">
        <f>'TCO TO BE- SW'!$F33+'TCO TO BE- SW'!$F43+'TCO TO BE- SW'!$F53</f>
        <v>0</v>
      </c>
      <c r="L9" s="90">
        <f>'TCO TO BE- SW'!$F34+'TCO TO BE- SW'!$F44+'TCO TO BE- SW'!$F54</f>
        <v>0</v>
      </c>
      <c r="M9" s="109">
        <f>'TCO TO BE- SW'!$F35+'TCO TO BE- SW'!$F45+'TCO TO BE- SW'!$F55</f>
        <v>0</v>
      </c>
    </row>
    <row r="10" spans="1:13" x14ac:dyDescent="0.25">
      <c r="A10" s="170"/>
      <c r="B10" s="168" t="s">
        <v>109</v>
      </c>
      <c r="C10" s="93">
        <f t="shared" si="0"/>
        <v>2756627.4600000004</v>
      </c>
      <c r="D10" s="108">
        <f>'TCO TO BE- SW'!$F79+'TCO TO BE- SW'!$F89+'TCO TO BE- SW'!$F99+'TCO TO BE- SW'!$F109+'TCO TO BE- SW'!$F119</f>
        <v>0</v>
      </c>
      <c r="E10" s="90">
        <f>'TCO TO BE- SW'!$F80+'TCO TO BE- SW'!$F90+'TCO TO BE- SW'!$F100+'TCO TO BE- SW'!$F110+'TCO TO BE- SW'!$F120</f>
        <v>0</v>
      </c>
      <c r="F10" s="90">
        <f>'TCO TO BE- SW'!$F81+'TCO TO BE- SW'!$F91+'TCO TO BE- SW'!$F101+'TCO TO BE- SW'!$F111+'TCO TO BE- SW'!$F121</f>
        <v>183775.16400000002</v>
      </c>
      <c r="G10" s="90">
        <f>'TCO TO BE- SW'!$F82+'TCO TO BE- SW'!$F92+'TCO TO BE- SW'!$F102+'TCO TO BE- SW'!$F112+'TCO TO BE- SW'!$F122</f>
        <v>367550.32800000004</v>
      </c>
      <c r="H10" s="90">
        <f>'TCO TO BE- SW'!$F83+'TCO TO BE- SW'!$F93+'TCO TO BE- SW'!$F103+'TCO TO BE- SW'!$F113+'TCO TO BE- SW'!$F123</f>
        <v>367550.32800000004</v>
      </c>
      <c r="I10" s="90">
        <f>'TCO TO BE- SW'!$F84+'TCO TO BE- SW'!$F94+'TCO TO BE- SW'!$F104+'TCO TO BE- SW'!$F114+'TCO TO BE- SW'!$F124</f>
        <v>367550.32800000004</v>
      </c>
      <c r="J10" s="90">
        <f>'TCO TO BE- SW'!$F85+'TCO TO BE- SW'!$F95+'TCO TO BE- SW'!$F105+'TCO TO BE- SW'!$F115+'TCO TO BE- SW'!$F125</f>
        <v>367550.32800000004</v>
      </c>
      <c r="K10" s="90">
        <f>'TCO TO BE- SW'!$F86+'TCO TO BE- SW'!$F96+'TCO TO BE- SW'!$F106+'TCO TO BE- SW'!$F116+'TCO TO BE- SW'!$F126</f>
        <v>367550.32800000004</v>
      </c>
      <c r="L10" s="90">
        <f>'TCO TO BE- SW'!$F87+'TCO TO BE- SW'!$F97+'TCO TO BE- SW'!$F107+'TCO TO BE- SW'!$F117+'TCO TO BE- SW'!$F127</f>
        <v>367550.32800000004</v>
      </c>
      <c r="M10" s="109">
        <f>'TCO TO BE- SW'!$F88+'TCO TO BE- SW'!$F98+'TCO TO BE- SW'!$F108+'TCO TO BE- SW'!$F118+'TCO TO BE- SW'!$F128</f>
        <v>367550.32800000004</v>
      </c>
    </row>
    <row r="11" spans="1:13" x14ac:dyDescent="0.25">
      <c r="A11" s="170"/>
      <c r="B11" s="168" t="s">
        <v>291</v>
      </c>
      <c r="C11" s="93">
        <f t="shared" si="0"/>
        <v>0</v>
      </c>
      <c r="D11" s="108">
        <f>'TCO TO BE- SW'!F151+'TCO TO BE- SW'!F161</f>
        <v>0</v>
      </c>
      <c r="E11" s="90">
        <f>'TCO TO BE- SW'!F152+'TCO TO BE- SW'!F162</f>
        <v>0</v>
      </c>
      <c r="F11" s="90">
        <f>'TCO TO BE- SW'!F153+'TCO TO BE- SW'!F163</f>
        <v>0</v>
      </c>
      <c r="G11" s="90">
        <f>'TCO TO BE- SW'!F154+'TCO TO BE- SW'!F164</f>
        <v>0</v>
      </c>
      <c r="H11" s="90">
        <f>'TCO TO BE- SW'!F155+'TCO TO BE- SW'!F165</f>
        <v>0</v>
      </c>
      <c r="I11" s="90">
        <f>'TCO TO BE- SW'!F156+'TCO TO BE- SW'!F166</f>
        <v>0</v>
      </c>
      <c r="J11" s="90">
        <f>'TCO TO BE- SW'!F157+'TCO TO BE- SW'!F167</f>
        <v>0</v>
      </c>
      <c r="K11" s="90">
        <f>'TCO TO BE- SW'!F158+'TCO TO BE- SW'!F168</f>
        <v>0</v>
      </c>
      <c r="L11" s="90">
        <f>'TCO TO BE- SW'!F159+'TCO TO BE- SW'!F169</f>
        <v>0</v>
      </c>
      <c r="M11" s="109">
        <f>'TCO TO BE- SW'!F160+'TCO TO BE- SW'!F170</f>
        <v>0</v>
      </c>
    </row>
    <row r="12" spans="1:13" x14ac:dyDescent="0.25">
      <c r="A12" s="170"/>
      <c r="B12" s="168" t="s">
        <v>100</v>
      </c>
      <c r="C12" s="93">
        <f t="shared" si="0"/>
        <v>1034163.04</v>
      </c>
      <c r="D12" s="108">
        <f>'TCO TO BE - HW'!$E4+'TCO TO BE - HW'!$E14+'TCO TO BE - HW'!$E24</f>
        <v>0</v>
      </c>
      <c r="E12" s="90">
        <f>'TCO TO BE - HW'!$E5+'TCO TO BE - HW'!$E15+'TCO TO BE - HW'!$E25</f>
        <v>1034163.04</v>
      </c>
      <c r="F12" s="90">
        <f>'TCO TO BE - HW'!$E6+'TCO TO BE - HW'!$E16+'TCO TO BE - HW'!$E26</f>
        <v>0</v>
      </c>
      <c r="G12" s="90">
        <f>'TCO TO BE - HW'!$E7+'TCO TO BE - HW'!$E17+'TCO TO BE - HW'!$E27</f>
        <v>0</v>
      </c>
      <c r="H12" s="90">
        <f>'TCO TO BE - HW'!$E8+'TCO TO BE - HW'!$E18+'TCO TO BE - HW'!$E28</f>
        <v>0</v>
      </c>
      <c r="I12" s="90">
        <f>'TCO TO BE - HW'!$E9+'TCO TO BE - HW'!$E19+'TCO TO BE - HW'!$E29</f>
        <v>0</v>
      </c>
      <c r="J12" s="90">
        <f>'TCO TO BE - HW'!$E10+'TCO TO BE - HW'!$E20+'TCO TO BE - HW'!$E30</f>
        <v>0</v>
      </c>
      <c r="K12" s="90">
        <f>'TCO TO BE - HW'!$E11+'TCO TO BE - HW'!$E21+'TCO TO BE - HW'!$E31</f>
        <v>0</v>
      </c>
      <c r="L12" s="90">
        <f>'TCO TO BE - HW'!$E12+'TCO TO BE - HW'!$E22+'TCO TO BE - HW'!$E32</f>
        <v>0</v>
      </c>
      <c r="M12" s="109">
        <f>'TCO TO BE - HW'!$E13+'TCO TO BE - HW'!$E23+'TCO TO BE - HW'!$E33</f>
        <v>0</v>
      </c>
    </row>
    <row r="13" spans="1:13" x14ac:dyDescent="0.25">
      <c r="A13" s="170"/>
      <c r="B13" s="168" t="s">
        <v>101</v>
      </c>
      <c r="C13" s="93">
        <f t="shared" si="0"/>
        <v>817402.81599999988</v>
      </c>
      <c r="D13" s="108">
        <f>'TCO TO BE - HW'!$E35+'TCO TO BE - HW'!$E45+'TCO TO BE - HW'!$E55+'TCO TO BE - HW'!$E65+'TCO TO BE - HW'!$E75</f>
        <v>0</v>
      </c>
      <c r="E13" s="90">
        <f>'TCO TO BE - HW'!$E36+'TCO TO BE - HW'!$E46+'TCO TO BE - HW'!$E56+'TCO TO BE - HW'!$E66+'TCO TO BE - HW'!$E76</f>
        <v>0</v>
      </c>
      <c r="F13" s="90">
        <f>'TCO TO BE - HW'!$E37+'TCO TO BE - HW'!$E47+'TCO TO BE - HW'!$E57+'TCO TO BE - HW'!$E67+'TCO TO BE - HW'!$E77</f>
        <v>2851.3519999999999</v>
      </c>
      <c r="G13" s="90">
        <f>'TCO TO BE - HW'!$E38+'TCO TO BE - HW'!$E48+'TCO TO BE - HW'!$E58+'TCO TO BE - HW'!$E68+'TCO TO BE - HW'!$E78</f>
        <v>2851.3519999999999</v>
      </c>
      <c r="H13" s="90">
        <f>'TCO TO BE - HW'!$E39+'TCO TO BE - HW'!$E49+'TCO TO BE - HW'!$E59+'TCO TO BE - HW'!$E69+'TCO TO BE - HW'!$E79</f>
        <v>2851.3519999999999</v>
      </c>
      <c r="I13" s="90">
        <f>'TCO TO BE - HW'!$E40+'TCO TO BE - HW'!$E50+'TCO TO BE - HW'!$E60+'TCO TO BE - HW'!$E70+'TCO TO BE - HW'!$E80</f>
        <v>2851.3519999999999</v>
      </c>
      <c r="J13" s="90">
        <f>'TCO TO BE - HW'!$E41+'TCO TO BE - HW'!$E51+'TCO TO BE - HW'!$E61+'TCO TO BE - HW'!$E71+'TCO TO BE - HW'!$E81</f>
        <v>797443.35199999996</v>
      </c>
      <c r="K13" s="90">
        <f>'TCO TO BE - HW'!$E42+'TCO TO BE - HW'!$E52+'TCO TO BE - HW'!$E62+'TCO TO BE - HW'!$E72+'TCO TO BE - HW'!$E82</f>
        <v>2851.3519999999999</v>
      </c>
      <c r="L13" s="90">
        <f>'TCO TO BE - HW'!$E43+'TCO TO BE - HW'!$E53+'TCO TO BE - HW'!$E63+'TCO TO BE - HW'!$E73+'TCO TO BE - HW'!$E83</f>
        <v>2851.3519999999999</v>
      </c>
      <c r="M13" s="109">
        <f>'TCO TO BE - HW'!$E44+'TCO TO BE - HW'!$E54+'TCO TO BE - HW'!$E64+'TCO TO BE - HW'!$E74+'TCO TO BE - HW'!$E84</f>
        <v>2851.3519999999999</v>
      </c>
    </row>
    <row r="14" spans="1:13" ht="15.75" thickBot="1" x14ac:dyDescent="0.3">
      <c r="A14" s="170"/>
      <c r="B14" s="393" t="s">
        <v>265</v>
      </c>
      <c r="C14" s="394">
        <f t="shared" si="0"/>
        <v>196929.37000000002</v>
      </c>
      <c r="D14" s="395">
        <f>'TCO TO BE- SW'!F130+'TCO TO BE- SW'!F140</f>
        <v>76467.748000000007</v>
      </c>
      <c r="E14" s="396">
        <f>'TCO TO BE- SW'!F131+'TCO TO BE- SW'!F141</f>
        <v>76467.748000000007</v>
      </c>
      <c r="F14" s="396">
        <f>'TCO TO BE- SW'!F132+'TCO TO BE- SW'!F142</f>
        <v>43993.874000000003</v>
      </c>
      <c r="G14" s="396">
        <f>'TCO TO BE- SW'!F133+'TCO TO BE- SW'!F143</f>
        <v>0</v>
      </c>
      <c r="H14" s="396">
        <f>'TCO TO BE- SW'!F134+'TCO TO BE- SW'!F144</f>
        <v>0</v>
      </c>
      <c r="I14" s="396">
        <f>'TCO TO BE- SW'!F135+'TCO TO BE- SW'!F145</f>
        <v>0</v>
      </c>
      <c r="J14" s="396">
        <f>'TCO TO BE- SW'!F136+'TCO TO BE- SW'!F146</f>
        <v>0</v>
      </c>
      <c r="K14" s="396">
        <f>'TCO TO BE- SW'!F137+'TCO TO BE- SW'!F147</f>
        <v>0</v>
      </c>
      <c r="L14" s="396">
        <f>'TCO TO BE- SW'!F138+'TCO TO BE- SW'!F148</f>
        <v>0</v>
      </c>
      <c r="M14" s="397">
        <f>'TCO TO BE- SW'!F139+'TCO TO BE- SW'!F149</f>
        <v>0</v>
      </c>
    </row>
    <row r="15" spans="1:13" ht="15.75" thickBot="1" x14ac:dyDescent="0.3">
      <c r="A15" s="171"/>
      <c r="B15" s="169" t="s">
        <v>102</v>
      </c>
      <c r="C15" s="95">
        <f>SUM(C7:C14)</f>
        <v>8220005.8859999999</v>
      </c>
      <c r="D15" s="91">
        <f>SUM(D7:D14)</f>
        <v>1403541.848</v>
      </c>
      <c r="E15" s="83">
        <f>SUM(E7:E14)</f>
        <v>3140784.9679999999</v>
      </c>
      <c r="F15" s="83">
        <f t="shared" ref="F15:M15" si="1">SUM(F7:F13)</f>
        <v>244281.43600000005</v>
      </c>
      <c r="G15" s="83">
        <f t="shared" si="1"/>
        <v>370401.68000000005</v>
      </c>
      <c r="H15" s="83">
        <f t="shared" si="1"/>
        <v>370401.68000000005</v>
      </c>
      <c r="I15" s="83">
        <f t="shared" si="1"/>
        <v>370401.68000000005</v>
      </c>
      <c r="J15" s="83">
        <f t="shared" si="1"/>
        <v>1164993.68</v>
      </c>
      <c r="K15" s="83">
        <f t="shared" si="1"/>
        <v>370401.68000000005</v>
      </c>
      <c r="L15" s="97">
        <f t="shared" si="1"/>
        <v>370401.68000000005</v>
      </c>
      <c r="M15" s="96">
        <f t="shared" si="1"/>
        <v>370401.68000000005</v>
      </c>
    </row>
    <row r="16" spans="1:13" ht="15.75" thickBot="1" x14ac:dyDescent="0.3">
      <c r="A16" s="81"/>
      <c r="B16" s="89" t="s">
        <v>638</v>
      </c>
      <c r="C16" s="95">
        <f>SUM(D9:F9,D12:F14)</f>
        <v>4648826.9619999994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</row>
    <row r="17" spans="1:13" x14ac:dyDescent="0.25">
      <c r="A17" s="81"/>
      <c r="B17" s="81" t="s">
        <v>742</v>
      </c>
      <c r="C17" s="850">
        <f>SUM(D14:F14)</f>
        <v>196929.37000000002</v>
      </c>
      <c r="D17" s="894"/>
      <c r="E17" s="850"/>
      <c r="F17" s="81"/>
      <c r="G17" s="81"/>
      <c r="H17" s="81"/>
      <c r="I17" s="81"/>
      <c r="J17" s="81"/>
      <c r="K17" s="81"/>
      <c r="L17" s="81"/>
      <c r="M17" s="81"/>
    </row>
    <row r="18" spans="1:13" ht="32.25" customHeight="1" x14ac:dyDescent="0.25">
      <c r="A18" s="1309" t="s">
        <v>631</v>
      </c>
      <c r="B18" s="1309"/>
      <c r="C18" s="1309"/>
      <c r="D18" s="87"/>
      <c r="E18" s="86"/>
      <c r="F18" s="86"/>
      <c r="G18" s="86"/>
      <c r="H18" s="86"/>
      <c r="I18" s="86"/>
      <c r="J18" s="86"/>
      <c r="K18" s="86"/>
      <c r="L18" s="86"/>
      <c r="M18" s="80"/>
    </row>
    <row r="19" spans="1:13" x14ac:dyDescent="0.25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</row>
    <row r="20" spans="1:13" ht="15.75" thickBot="1" x14ac:dyDescent="0.3">
      <c r="B20" s="81"/>
      <c r="C20" s="85"/>
      <c r="D20" s="1308" t="s">
        <v>99</v>
      </c>
      <c r="E20" s="1308"/>
      <c r="F20" s="1308"/>
      <c r="G20" s="1308"/>
      <c r="H20" s="1308"/>
      <c r="I20" s="1308"/>
      <c r="J20" s="1308"/>
      <c r="K20" s="1308"/>
      <c r="L20" s="1308"/>
      <c r="M20" s="1308"/>
    </row>
    <row r="21" spans="1:13" ht="17.100000000000001" customHeight="1" x14ac:dyDescent="0.25">
      <c r="A21" s="141"/>
      <c r="B21" s="166" t="s">
        <v>210</v>
      </c>
      <c r="C21" s="92" t="s">
        <v>103</v>
      </c>
      <c r="D21" s="105" t="s">
        <v>25</v>
      </c>
      <c r="E21" s="106" t="s">
        <v>26</v>
      </c>
      <c r="F21" s="106" t="s">
        <v>27</v>
      </c>
      <c r="G21" s="106" t="s">
        <v>28</v>
      </c>
      <c r="H21" s="106" t="s">
        <v>29</v>
      </c>
      <c r="I21" s="106" t="s">
        <v>30</v>
      </c>
      <c r="J21" s="106" t="s">
        <v>31</v>
      </c>
      <c r="K21" s="106" t="s">
        <v>32</v>
      </c>
      <c r="L21" s="106" t="s">
        <v>33</v>
      </c>
      <c r="M21" s="107" t="s">
        <v>34</v>
      </c>
    </row>
    <row r="22" spans="1:13" ht="15" customHeight="1" x14ac:dyDescent="0.25">
      <c r="A22" s="170"/>
      <c r="B22" s="103" t="s">
        <v>106</v>
      </c>
      <c r="C22" s="93">
        <v>0</v>
      </c>
      <c r="D22" s="108">
        <v>0</v>
      </c>
      <c r="E22" s="90">
        <v>0</v>
      </c>
      <c r="F22" s="90">
        <v>0</v>
      </c>
      <c r="G22" s="90">
        <v>0</v>
      </c>
      <c r="H22" s="90">
        <v>0</v>
      </c>
      <c r="I22" s="90">
        <v>0</v>
      </c>
      <c r="J22" s="90">
        <v>0</v>
      </c>
      <c r="K22" s="90">
        <v>0</v>
      </c>
      <c r="L22" s="90">
        <v>0</v>
      </c>
      <c r="M22" s="109">
        <v>0</v>
      </c>
    </row>
    <row r="23" spans="1:13" ht="17.25" customHeight="1" x14ac:dyDescent="0.25">
      <c r="A23" s="170"/>
      <c r="B23" s="103" t="s">
        <v>107</v>
      </c>
      <c r="C23" s="93">
        <f>SUM(D23:M23)</f>
        <v>0</v>
      </c>
      <c r="D23" s="108">
        <f>'TCO AS IS - SW'!E5+'TCO AS IS - SW'!E15</f>
        <v>0</v>
      </c>
      <c r="E23" s="90">
        <f>'TCO AS IS - SW'!E6+'TCO AS IS - SW'!E16</f>
        <v>0</v>
      </c>
      <c r="F23" s="90">
        <f>'TCO AS IS - SW'!E7+'TCO AS IS - SW'!E17</f>
        <v>0</v>
      </c>
      <c r="G23" s="90">
        <f>'TCO AS IS - SW'!E8+'TCO AS IS - SW'!E18</f>
        <v>0</v>
      </c>
      <c r="H23" s="90">
        <f>'TCO AS IS - SW'!E9+'TCO AS IS - SW'!E19</f>
        <v>0</v>
      </c>
      <c r="I23" s="90">
        <f>'TCO AS IS - SW'!E10+'TCO AS IS - SW'!E20</f>
        <v>0</v>
      </c>
      <c r="J23" s="90">
        <f>'TCO AS IS - SW'!E11+'TCO AS IS - SW'!E21</f>
        <v>0</v>
      </c>
      <c r="K23" s="90">
        <f>'TCO AS IS - SW'!E12+'TCO AS IS - SW'!E22</f>
        <v>0</v>
      </c>
      <c r="L23" s="90">
        <f>'TCO AS IS - SW'!E13+'TCO AS IS - SW'!E23</f>
        <v>0</v>
      </c>
      <c r="M23" s="109">
        <f>'TCO AS IS - SW'!E14+'TCO AS IS - SW'!E24</f>
        <v>0</v>
      </c>
    </row>
    <row r="24" spans="1:13" x14ac:dyDescent="0.25">
      <c r="A24" s="170"/>
      <c r="B24" s="103" t="s">
        <v>108</v>
      </c>
      <c r="C24" s="93">
        <v>0</v>
      </c>
      <c r="D24" s="108">
        <v>0</v>
      </c>
      <c r="E24" s="90">
        <v>0</v>
      </c>
      <c r="F24" s="90">
        <v>0</v>
      </c>
      <c r="G24" s="90">
        <v>0</v>
      </c>
      <c r="H24" s="90">
        <v>0</v>
      </c>
      <c r="I24" s="90">
        <v>0</v>
      </c>
      <c r="J24" s="90">
        <v>0</v>
      </c>
      <c r="K24" s="90">
        <v>0</v>
      </c>
      <c r="L24" s="90">
        <v>0</v>
      </c>
      <c r="M24" s="109">
        <v>0</v>
      </c>
    </row>
    <row r="25" spans="1:13" x14ac:dyDescent="0.25">
      <c r="A25" s="170"/>
      <c r="B25" s="103" t="s">
        <v>109</v>
      </c>
      <c r="C25" s="93">
        <f>SUM(D25:M25)</f>
        <v>315647.99999999994</v>
      </c>
      <c r="D25" s="108">
        <f>'TCO AS IS - SW'!E26+'TCO AS IS - SW'!E36+'TCO AS IS - SW'!E46+'TCO AS IS - SW'!E56+'TCO AS IS - SW'!E66</f>
        <v>31564.799999999999</v>
      </c>
      <c r="E25" s="90">
        <f>'TCO AS IS - SW'!E27+'TCO AS IS - SW'!E37+'TCO AS IS - SW'!E47+'TCO AS IS - SW'!E57+'TCO AS IS - SW'!E67</f>
        <v>31564.799999999999</v>
      </c>
      <c r="F25" s="90">
        <f>'TCO AS IS - SW'!E28+'TCO AS IS - SW'!E38+'TCO AS IS - SW'!E48+'TCO AS IS - SW'!E58+'TCO AS IS - SW'!E68</f>
        <v>31564.799999999999</v>
      </c>
      <c r="G25" s="90">
        <f>'TCO AS IS - SW'!E29+'TCO AS IS - SW'!E39+'TCO AS IS - SW'!E49+'TCO AS IS - SW'!E59+'TCO AS IS - SW'!E69</f>
        <v>31564.799999999999</v>
      </c>
      <c r="H25" s="90">
        <f>'TCO AS IS - SW'!E30+'TCO AS IS - SW'!E40+'TCO AS IS - SW'!E50+'TCO AS IS - SW'!E60+'TCO AS IS - SW'!E70</f>
        <v>31564.799999999999</v>
      </c>
      <c r="I25" s="90">
        <f>'TCO AS IS - SW'!E31+'TCO AS IS - SW'!E41+'TCO AS IS - SW'!E51+'TCO AS IS - SW'!E61+'TCO AS IS - SW'!E71</f>
        <v>31564.799999999999</v>
      </c>
      <c r="J25" s="90">
        <f>'TCO AS IS - SW'!E32+'TCO AS IS - SW'!E42+'TCO AS IS - SW'!E52+'TCO AS IS - SW'!E62+'TCO AS IS - SW'!E72</f>
        <v>31564.799999999999</v>
      </c>
      <c r="K25" s="90">
        <f>'TCO AS IS - SW'!E33+'TCO AS IS - SW'!E43+'TCO AS IS - SW'!E53+'TCO AS IS - SW'!E63+'TCO AS IS - SW'!E73</f>
        <v>31564.799999999999</v>
      </c>
      <c r="L25" s="90">
        <f>'TCO AS IS - SW'!E34+'TCO AS IS - SW'!E44+'TCO AS IS - SW'!E54+'TCO AS IS - SW'!E64+'TCO AS IS - SW'!E74</f>
        <v>31564.799999999999</v>
      </c>
      <c r="M25" s="109">
        <f>'TCO AS IS - SW'!E35+'TCO AS IS - SW'!E45+'TCO AS IS - SW'!E55+'TCO AS IS - SW'!E65+'TCO AS IS - SW'!E75</f>
        <v>31564.799999999999</v>
      </c>
    </row>
    <row r="26" spans="1:13" x14ac:dyDescent="0.25">
      <c r="A26" s="170"/>
      <c r="B26" s="103" t="s">
        <v>100</v>
      </c>
      <c r="C26" s="93">
        <v>0</v>
      </c>
      <c r="D26" s="108">
        <v>0</v>
      </c>
      <c r="E26" s="90">
        <v>0</v>
      </c>
      <c r="F26" s="90">
        <v>0</v>
      </c>
      <c r="G26" s="90">
        <v>0</v>
      </c>
      <c r="H26" s="90">
        <v>0</v>
      </c>
      <c r="I26" s="90">
        <v>0</v>
      </c>
      <c r="J26" s="90">
        <v>0</v>
      </c>
      <c r="K26" s="90">
        <v>0</v>
      </c>
      <c r="L26" s="90">
        <v>0</v>
      </c>
      <c r="M26" s="109">
        <v>0</v>
      </c>
    </row>
    <row r="27" spans="1:13" ht="15.75" thickBot="1" x14ac:dyDescent="0.3">
      <c r="A27" s="170"/>
      <c r="B27" s="104" t="s">
        <v>101</v>
      </c>
      <c r="C27" s="94">
        <f>SUM(D27:M27)</f>
        <v>0</v>
      </c>
      <c r="D27" s="110">
        <f>'TCO AS IS - HW'!E4+'TCO AS IS - HW'!E14+'TCO AS IS - HW'!E24+'TCO AS IS - HW'!E34+'TCO AS IS - HW'!E44</f>
        <v>0</v>
      </c>
      <c r="E27" s="111">
        <f>'TCO AS IS - HW'!E5+'TCO AS IS - HW'!E15+'TCO AS IS - HW'!E25+'TCO AS IS - HW'!E35+'TCO AS IS - HW'!E45</f>
        <v>0</v>
      </c>
      <c r="F27" s="111">
        <f>'TCO AS IS - HW'!E6+'TCO AS IS - HW'!E16+'TCO AS IS - HW'!E26+'TCO AS IS - HW'!E36+'TCO AS IS - HW'!E46</f>
        <v>0</v>
      </c>
      <c r="G27" s="111">
        <f>'TCO AS IS - HW'!E7+'TCO AS IS - HW'!E17+'TCO AS IS - HW'!E27+'TCO AS IS - HW'!E37+'TCO AS IS - HW'!E47</f>
        <v>0</v>
      </c>
      <c r="H27" s="111">
        <f>'TCO AS IS - HW'!E8+'TCO AS IS - HW'!E18+'TCO AS IS - HW'!E28+'TCO AS IS - HW'!E38+'TCO AS IS - HW'!E48</f>
        <v>0</v>
      </c>
      <c r="I27" s="111">
        <f>'TCO AS IS - HW'!E9+'TCO AS IS - HW'!E19+'TCO AS IS - HW'!E29+'TCO AS IS - HW'!E39+'TCO AS IS - HW'!E49</f>
        <v>0</v>
      </c>
      <c r="J27" s="111">
        <f>'TCO AS IS - HW'!E10+'TCO AS IS - HW'!E20+'TCO AS IS - HW'!E30+'TCO AS IS - HW'!E40+'TCO AS IS - HW'!E50</f>
        <v>0</v>
      </c>
      <c r="K27" s="111">
        <f>'TCO AS IS - HW'!E11+'TCO AS IS - HW'!E21+'TCO AS IS - HW'!E31+'TCO AS IS - HW'!E41+'TCO AS IS - HW'!E51</f>
        <v>0</v>
      </c>
      <c r="L27" s="111">
        <f>'TCO AS IS - HW'!E12+'TCO AS IS - HW'!E22+'TCO AS IS - HW'!E32+'TCO AS IS - HW'!E42+'TCO AS IS - HW'!E52</f>
        <v>0</v>
      </c>
      <c r="M27" s="112">
        <f>'TCO AS IS - HW'!E13+'TCO AS IS - HW'!E23+'TCO AS IS - HW'!E33+'TCO AS IS - HW'!E43+'TCO AS IS - HW'!E53</f>
        <v>0</v>
      </c>
    </row>
    <row r="28" spans="1:13" ht="15.75" thickBot="1" x14ac:dyDescent="0.3">
      <c r="A28" s="171"/>
      <c r="B28" s="89" t="s">
        <v>102</v>
      </c>
      <c r="C28" s="95">
        <f t="shared" ref="C28:M28" si="2">SUM(C22:C27)</f>
        <v>315647.99999999994</v>
      </c>
      <c r="D28" s="91">
        <f t="shared" si="2"/>
        <v>31564.799999999999</v>
      </c>
      <c r="E28" s="83">
        <f t="shared" si="2"/>
        <v>31564.799999999999</v>
      </c>
      <c r="F28" s="83">
        <f t="shared" si="2"/>
        <v>31564.799999999999</v>
      </c>
      <c r="G28" s="83">
        <f t="shared" si="2"/>
        <v>31564.799999999999</v>
      </c>
      <c r="H28" s="83">
        <f t="shared" si="2"/>
        <v>31564.799999999999</v>
      </c>
      <c r="I28" s="83">
        <f t="shared" si="2"/>
        <v>31564.799999999999</v>
      </c>
      <c r="J28" s="83">
        <f t="shared" si="2"/>
        <v>31564.799999999999</v>
      </c>
      <c r="K28" s="83">
        <f t="shared" si="2"/>
        <v>31564.799999999999</v>
      </c>
      <c r="L28" s="97">
        <f t="shared" si="2"/>
        <v>31564.799999999999</v>
      </c>
      <c r="M28" s="96">
        <f t="shared" si="2"/>
        <v>31564.799999999999</v>
      </c>
    </row>
    <row r="29" spans="1:13" x14ac:dyDescent="0.25">
      <c r="A29" s="163"/>
      <c r="B29" s="164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</row>
    <row r="32" spans="1:13" ht="15.75" customHeight="1" x14ac:dyDescent="0.25">
      <c r="A32" s="1309" t="s">
        <v>632</v>
      </c>
      <c r="B32" s="1309"/>
      <c r="C32" s="1309"/>
    </row>
    <row r="34" spans="1:13" ht="15.75" thickBot="1" x14ac:dyDescent="0.3"/>
    <row r="35" spans="1:13" x14ac:dyDescent="0.25">
      <c r="A35" s="141"/>
      <c r="B35" s="166" t="s">
        <v>150</v>
      </c>
      <c r="C35" s="126" t="s">
        <v>103</v>
      </c>
      <c r="D35" s="127" t="s">
        <v>25</v>
      </c>
      <c r="E35" s="128" t="s">
        <v>26</v>
      </c>
      <c r="F35" s="128" t="s">
        <v>27</v>
      </c>
      <c r="G35" s="128" t="s">
        <v>28</v>
      </c>
      <c r="H35" s="128" t="s">
        <v>29</v>
      </c>
      <c r="I35" s="128" t="s">
        <v>30</v>
      </c>
      <c r="J35" s="128" t="s">
        <v>31</v>
      </c>
      <c r="K35" s="128" t="s">
        <v>32</v>
      </c>
      <c r="L35" s="128" t="s">
        <v>33</v>
      </c>
      <c r="M35" s="129" t="s">
        <v>34</v>
      </c>
    </row>
    <row r="36" spans="1:13" x14ac:dyDescent="0.25">
      <c r="A36" s="170"/>
      <c r="B36" s="130" t="s">
        <v>106</v>
      </c>
      <c r="C36" s="93">
        <f>SUM(D36:M36)</f>
        <v>0</v>
      </c>
      <c r="D36" s="108">
        <f t="shared" ref="D36:M36" si="3">D7-D22</f>
        <v>0</v>
      </c>
      <c r="E36" s="90">
        <f t="shared" si="3"/>
        <v>0</v>
      </c>
      <c r="F36" s="90">
        <f t="shared" si="3"/>
        <v>0</v>
      </c>
      <c r="G36" s="90">
        <f t="shared" si="3"/>
        <v>0</v>
      </c>
      <c r="H36" s="90">
        <f t="shared" si="3"/>
        <v>0</v>
      </c>
      <c r="I36" s="90">
        <f t="shared" si="3"/>
        <v>0</v>
      </c>
      <c r="J36" s="90">
        <f t="shared" si="3"/>
        <v>0</v>
      </c>
      <c r="K36" s="90">
        <f t="shared" si="3"/>
        <v>0</v>
      </c>
      <c r="L36" s="90">
        <f t="shared" si="3"/>
        <v>0</v>
      </c>
      <c r="M36" s="131">
        <f t="shared" si="3"/>
        <v>0</v>
      </c>
    </row>
    <row r="37" spans="1:13" x14ac:dyDescent="0.25">
      <c r="A37" s="170"/>
      <c r="B37" s="103" t="s">
        <v>107</v>
      </c>
      <c r="C37" s="93">
        <f t="shared" ref="C37:C43" si="4">SUM(D37:M37)</f>
        <v>0</v>
      </c>
      <c r="D37" s="108">
        <f t="shared" ref="D37:M37" si="5">D8-D23</f>
        <v>0</v>
      </c>
      <c r="E37" s="90">
        <f t="shared" si="5"/>
        <v>0</v>
      </c>
      <c r="F37" s="90">
        <f t="shared" si="5"/>
        <v>0</v>
      </c>
      <c r="G37" s="90">
        <f t="shared" si="5"/>
        <v>0</v>
      </c>
      <c r="H37" s="90">
        <f t="shared" si="5"/>
        <v>0</v>
      </c>
      <c r="I37" s="90">
        <f t="shared" si="5"/>
        <v>0</v>
      </c>
      <c r="J37" s="90">
        <f t="shared" si="5"/>
        <v>0</v>
      </c>
      <c r="K37" s="90">
        <f t="shared" si="5"/>
        <v>0</v>
      </c>
      <c r="L37" s="132">
        <f t="shared" si="5"/>
        <v>0</v>
      </c>
      <c r="M37" s="109">
        <f t="shared" si="5"/>
        <v>0</v>
      </c>
    </row>
    <row r="38" spans="1:13" x14ac:dyDescent="0.25">
      <c r="A38" s="170"/>
      <c r="B38" s="130" t="s">
        <v>108</v>
      </c>
      <c r="C38" s="93">
        <f t="shared" si="4"/>
        <v>3414883.2</v>
      </c>
      <c r="D38" s="108">
        <f t="shared" ref="D38:M38" si="6">D9-D24</f>
        <v>1327074.1000000001</v>
      </c>
      <c r="E38" s="90">
        <f t="shared" si="6"/>
        <v>2030154.18</v>
      </c>
      <c r="F38" s="90">
        <f t="shared" si="6"/>
        <v>57654.92</v>
      </c>
      <c r="G38" s="90">
        <f t="shared" si="6"/>
        <v>0</v>
      </c>
      <c r="H38" s="90">
        <f t="shared" si="6"/>
        <v>0</v>
      </c>
      <c r="I38" s="90">
        <f t="shared" si="6"/>
        <v>0</v>
      </c>
      <c r="J38" s="90">
        <f t="shared" si="6"/>
        <v>0</v>
      </c>
      <c r="K38" s="90">
        <f t="shared" si="6"/>
        <v>0</v>
      </c>
      <c r="L38" s="132">
        <f t="shared" si="6"/>
        <v>0</v>
      </c>
      <c r="M38" s="109">
        <f t="shared" si="6"/>
        <v>0</v>
      </c>
    </row>
    <row r="39" spans="1:13" x14ac:dyDescent="0.25">
      <c r="A39" s="170"/>
      <c r="B39" s="103" t="s">
        <v>109</v>
      </c>
      <c r="C39" s="93">
        <f t="shared" si="4"/>
        <v>2440979.46</v>
      </c>
      <c r="D39" s="108">
        <f t="shared" ref="D39:M39" si="7">D10-D25</f>
        <v>-31564.799999999999</v>
      </c>
      <c r="E39" s="90">
        <f t="shared" si="7"/>
        <v>-31564.799999999999</v>
      </c>
      <c r="F39" s="90">
        <f t="shared" si="7"/>
        <v>152210.36400000003</v>
      </c>
      <c r="G39" s="90">
        <f t="shared" si="7"/>
        <v>335985.52800000005</v>
      </c>
      <c r="H39" s="90">
        <f t="shared" si="7"/>
        <v>335985.52800000005</v>
      </c>
      <c r="I39" s="90">
        <f t="shared" si="7"/>
        <v>335985.52800000005</v>
      </c>
      <c r="J39" s="90">
        <f t="shared" si="7"/>
        <v>335985.52800000005</v>
      </c>
      <c r="K39" s="90">
        <f t="shared" si="7"/>
        <v>335985.52800000005</v>
      </c>
      <c r="L39" s="132">
        <f t="shared" si="7"/>
        <v>335985.52800000005</v>
      </c>
      <c r="M39" s="109">
        <f t="shared" si="7"/>
        <v>335985.52800000005</v>
      </c>
    </row>
    <row r="40" spans="1:13" x14ac:dyDescent="0.25">
      <c r="A40" s="170"/>
      <c r="B40" s="103" t="s">
        <v>291</v>
      </c>
      <c r="C40" s="93">
        <f t="shared" si="4"/>
        <v>0</v>
      </c>
      <c r="D40" s="108">
        <f t="shared" ref="D40:M40" si="8">D11</f>
        <v>0</v>
      </c>
      <c r="E40" s="90">
        <f t="shared" si="8"/>
        <v>0</v>
      </c>
      <c r="F40" s="90">
        <f t="shared" si="8"/>
        <v>0</v>
      </c>
      <c r="G40" s="90">
        <f t="shared" si="8"/>
        <v>0</v>
      </c>
      <c r="H40" s="90">
        <f t="shared" si="8"/>
        <v>0</v>
      </c>
      <c r="I40" s="90">
        <f t="shared" si="8"/>
        <v>0</v>
      </c>
      <c r="J40" s="90">
        <f t="shared" si="8"/>
        <v>0</v>
      </c>
      <c r="K40" s="90">
        <f t="shared" si="8"/>
        <v>0</v>
      </c>
      <c r="L40" s="132">
        <f t="shared" si="8"/>
        <v>0</v>
      </c>
      <c r="M40" s="109">
        <f t="shared" si="8"/>
        <v>0</v>
      </c>
    </row>
    <row r="41" spans="1:13" x14ac:dyDescent="0.25">
      <c r="A41" s="170"/>
      <c r="B41" s="103" t="s">
        <v>152</v>
      </c>
      <c r="C41" s="93">
        <f t="shared" si="4"/>
        <v>1034163.04</v>
      </c>
      <c r="D41" s="108">
        <f t="shared" ref="D41:M41" si="9">D12-D26</f>
        <v>0</v>
      </c>
      <c r="E41" s="90">
        <f t="shared" si="9"/>
        <v>1034163.04</v>
      </c>
      <c r="F41" s="90">
        <f t="shared" si="9"/>
        <v>0</v>
      </c>
      <c r="G41" s="90">
        <f t="shared" si="9"/>
        <v>0</v>
      </c>
      <c r="H41" s="90">
        <f t="shared" si="9"/>
        <v>0</v>
      </c>
      <c r="I41" s="90">
        <f t="shared" si="9"/>
        <v>0</v>
      </c>
      <c r="J41" s="90">
        <f t="shared" si="9"/>
        <v>0</v>
      </c>
      <c r="K41" s="90">
        <f t="shared" si="9"/>
        <v>0</v>
      </c>
      <c r="L41" s="132">
        <f t="shared" si="9"/>
        <v>0</v>
      </c>
      <c r="M41" s="109">
        <f t="shared" si="9"/>
        <v>0</v>
      </c>
    </row>
    <row r="42" spans="1:13" x14ac:dyDescent="0.25">
      <c r="A42" s="170"/>
      <c r="B42" s="104" t="s">
        <v>153</v>
      </c>
      <c r="C42" s="94">
        <f t="shared" si="4"/>
        <v>817402.81599999988</v>
      </c>
      <c r="D42" s="108">
        <f t="shared" ref="D42:M42" si="10">D13-D27</f>
        <v>0</v>
      </c>
      <c r="E42" s="90">
        <f t="shared" si="10"/>
        <v>0</v>
      </c>
      <c r="F42" s="90">
        <f t="shared" si="10"/>
        <v>2851.3519999999999</v>
      </c>
      <c r="G42" s="90">
        <f t="shared" si="10"/>
        <v>2851.3519999999999</v>
      </c>
      <c r="H42" s="90">
        <f t="shared" si="10"/>
        <v>2851.3519999999999</v>
      </c>
      <c r="I42" s="90">
        <f t="shared" si="10"/>
        <v>2851.3519999999999</v>
      </c>
      <c r="J42" s="90">
        <f t="shared" si="10"/>
        <v>797443.35199999996</v>
      </c>
      <c r="K42" s="90">
        <f t="shared" si="10"/>
        <v>2851.3519999999999</v>
      </c>
      <c r="L42" s="132">
        <f t="shared" si="10"/>
        <v>2851.3519999999999</v>
      </c>
      <c r="M42" s="109">
        <f t="shared" si="10"/>
        <v>2851.3519999999999</v>
      </c>
    </row>
    <row r="43" spans="1:13" ht="15.75" thickBot="1" x14ac:dyDescent="0.3">
      <c r="A43" s="170"/>
      <c r="B43" s="103" t="s">
        <v>265</v>
      </c>
      <c r="C43" s="93">
        <f t="shared" si="4"/>
        <v>196929.37000000002</v>
      </c>
      <c r="D43" s="108">
        <f t="shared" ref="D43:M43" si="11">D14</f>
        <v>76467.748000000007</v>
      </c>
      <c r="E43" s="90">
        <f t="shared" si="11"/>
        <v>76467.748000000007</v>
      </c>
      <c r="F43" s="90">
        <f t="shared" si="11"/>
        <v>43993.874000000003</v>
      </c>
      <c r="G43" s="90">
        <f t="shared" si="11"/>
        <v>0</v>
      </c>
      <c r="H43" s="90">
        <f t="shared" si="11"/>
        <v>0</v>
      </c>
      <c r="I43" s="90">
        <f t="shared" si="11"/>
        <v>0</v>
      </c>
      <c r="J43" s="90">
        <f t="shared" si="11"/>
        <v>0</v>
      </c>
      <c r="K43" s="90">
        <f t="shared" si="11"/>
        <v>0</v>
      </c>
      <c r="L43" s="132">
        <f t="shared" si="11"/>
        <v>0</v>
      </c>
      <c r="M43" s="109">
        <f t="shared" si="11"/>
        <v>0</v>
      </c>
    </row>
    <row r="44" spans="1:13" ht="15.75" thickBot="1" x14ac:dyDescent="0.3">
      <c r="A44" s="171"/>
      <c r="B44" s="89" t="s">
        <v>102</v>
      </c>
      <c r="C44" s="95">
        <f>SUM(D44:M44)</f>
        <v>7783896.2639999995</v>
      </c>
      <c r="D44" s="91">
        <f>SUM(D36:D43)</f>
        <v>1371977.048</v>
      </c>
      <c r="E44" s="83">
        <f t="shared" ref="E44:M44" si="12">SUM(E36:E42)</f>
        <v>3032752.42</v>
      </c>
      <c r="F44" s="83">
        <f t="shared" si="12"/>
        <v>212716.63600000006</v>
      </c>
      <c r="G44" s="83">
        <f t="shared" si="12"/>
        <v>338836.88000000006</v>
      </c>
      <c r="H44" s="83">
        <f t="shared" si="12"/>
        <v>338836.88000000006</v>
      </c>
      <c r="I44" s="83">
        <f t="shared" si="12"/>
        <v>338836.88000000006</v>
      </c>
      <c r="J44" s="83">
        <f t="shared" si="12"/>
        <v>1133428.8799999999</v>
      </c>
      <c r="K44" s="83">
        <f t="shared" si="12"/>
        <v>338836.88000000006</v>
      </c>
      <c r="L44" s="97">
        <f t="shared" si="12"/>
        <v>338836.88000000006</v>
      </c>
      <c r="M44" s="96">
        <f t="shared" si="12"/>
        <v>338836.88000000006</v>
      </c>
    </row>
  </sheetData>
  <mergeCells count="4">
    <mergeCell ref="D5:M5"/>
    <mergeCell ref="A18:C18"/>
    <mergeCell ref="D20:M20"/>
    <mergeCell ref="A32:C32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outlinePr summaryBelow="0" summaryRight="0"/>
  </sheetPr>
  <dimension ref="A1:E77"/>
  <sheetViews>
    <sheetView showGridLines="0" zoomScaleNormal="100" workbookViewId="0">
      <pane ySplit="3" topLeftCell="A51" activePane="bottomLeft" state="frozen"/>
      <selection activeCell="C47" sqref="C47"/>
      <selection pane="bottomLeft" activeCell="C46" sqref="C46:C55"/>
    </sheetView>
  </sheetViews>
  <sheetFormatPr defaultColWidth="8.85546875" defaultRowHeight="15" outlineLevelRow="2" x14ac:dyDescent="0.25"/>
  <cols>
    <col min="1" max="1" width="22.42578125" customWidth="1"/>
    <col min="2" max="2" width="23.42578125" customWidth="1"/>
    <col min="3" max="3" width="22.42578125" customWidth="1"/>
    <col min="5" max="5" width="17.85546875" customWidth="1"/>
  </cols>
  <sheetData>
    <row r="1" spans="1:5" ht="25.35" customHeight="1" thickBot="1" x14ac:dyDescent="0.4">
      <c r="A1" s="1313" t="s">
        <v>629</v>
      </c>
      <c r="B1" s="1313"/>
      <c r="C1" s="1313"/>
      <c r="D1" s="1314"/>
      <c r="E1" s="70" t="s">
        <v>35</v>
      </c>
    </row>
    <row r="2" spans="1:5" ht="15.75" collapsed="1" thickBot="1" x14ac:dyDescent="0.3">
      <c r="A2" s="40" t="s">
        <v>0</v>
      </c>
      <c r="B2" s="75" t="s">
        <v>75</v>
      </c>
      <c r="C2" s="75" t="s">
        <v>74</v>
      </c>
      <c r="D2" s="75" t="s">
        <v>23</v>
      </c>
      <c r="E2" s="17"/>
    </row>
    <row r="3" spans="1:5" ht="15.75" thickBot="1" x14ac:dyDescent="0.3">
      <c r="A3" s="1315" t="s">
        <v>79</v>
      </c>
      <c r="B3" s="1316"/>
      <c r="C3" s="1316"/>
      <c r="D3" s="79"/>
      <c r="E3" s="518">
        <f>E4+E25</f>
        <v>315647.99999999994</v>
      </c>
    </row>
    <row r="4" spans="1:5" ht="15.75" outlineLevel="1" thickBot="1" x14ac:dyDescent="0.3">
      <c r="A4" s="17" t="s">
        <v>104</v>
      </c>
      <c r="B4" s="17"/>
      <c r="C4" s="17"/>
      <c r="D4" s="28"/>
      <c r="E4" s="555">
        <f>SUM(E5:E24)</f>
        <v>0</v>
      </c>
    </row>
    <row r="5" spans="1:5" outlineLevel="2" x14ac:dyDescent="0.25">
      <c r="A5" s="1311" t="s">
        <v>80</v>
      </c>
      <c r="B5" s="1312" t="s">
        <v>81</v>
      </c>
      <c r="C5" s="1311" t="s">
        <v>340</v>
      </c>
      <c r="D5" s="67" t="s">
        <v>25</v>
      </c>
      <c r="E5" s="522">
        <v>0</v>
      </c>
    </row>
    <row r="6" spans="1:5" outlineLevel="2" x14ac:dyDescent="0.25">
      <c r="A6" s="1311"/>
      <c r="B6" s="1312"/>
      <c r="C6" s="1311"/>
      <c r="D6" s="68" t="s">
        <v>26</v>
      </c>
      <c r="E6" s="527">
        <v>0</v>
      </c>
    </row>
    <row r="7" spans="1:5" outlineLevel="2" x14ac:dyDescent="0.25">
      <c r="A7" s="1311"/>
      <c r="B7" s="1312"/>
      <c r="C7" s="1311"/>
      <c r="D7" s="68" t="s">
        <v>27</v>
      </c>
      <c r="E7" s="527">
        <v>0</v>
      </c>
    </row>
    <row r="8" spans="1:5" outlineLevel="2" x14ac:dyDescent="0.25">
      <c r="A8" s="1311"/>
      <c r="B8" s="1312"/>
      <c r="C8" s="1311"/>
      <c r="D8" s="68" t="s">
        <v>28</v>
      </c>
      <c r="E8" s="527">
        <v>0</v>
      </c>
    </row>
    <row r="9" spans="1:5" outlineLevel="2" x14ac:dyDescent="0.25">
      <c r="A9" s="1311"/>
      <c r="B9" s="1312"/>
      <c r="C9" s="1311"/>
      <c r="D9" s="68" t="s">
        <v>29</v>
      </c>
      <c r="E9" s="527">
        <v>0</v>
      </c>
    </row>
    <row r="10" spans="1:5" outlineLevel="2" x14ac:dyDescent="0.25">
      <c r="A10" s="1311"/>
      <c r="B10" s="1312"/>
      <c r="C10" s="1311"/>
      <c r="D10" s="68" t="s">
        <v>30</v>
      </c>
      <c r="E10" s="527">
        <v>0</v>
      </c>
    </row>
    <row r="11" spans="1:5" outlineLevel="2" x14ac:dyDescent="0.25">
      <c r="A11" s="1311"/>
      <c r="B11" s="1312"/>
      <c r="C11" s="1311"/>
      <c r="D11" s="68" t="s">
        <v>31</v>
      </c>
      <c r="E11" s="527">
        <v>0</v>
      </c>
    </row>
    <row r="12" spans="1:5" outlineLevel="2" x14ac:dyDescent="0.25">
      <c r="A12" s="1311"/>
      <c r="B12" s="1312"/>
      <c r="C12" s="1311"/>
      <c r="D12" s="68" t="s">
        <v>32</v>
      </c>
      <c r="E12" s="527">
        <v>0</v>
      </c>
    </row>
    <row r="13" spans="1:5" outlineLevel="2" x14ac:dyDescent="0.25">
      <c r="A13" s="1311"/>
      <c r="B13" s="1312"/>
      <c r="C13" s="1311"/>
      <c r="D13" s="68" t="s">
        <v>33</v>
      </c>
      <c r="E13" s="527">
        <v>0</v>
      </c>
    </row>
    <row r="14" spans="1:5" ht="15.75" outlineLevel="2" thickBot="1" x14ac:dyDescent="0.3">
      <c r="A14" s="1311"/>
      <c r="B14" s="1312"/>
      <c r="C14" s="1311"/>
      <c r="D14" s="69" t="s">
        <v>34</v>
      </c>
      <c r="E14" s="536">
        <v>0</v>
      </c>
    </row>
    <row r="15" spans="1:5" outlineLevel="2" x14ac:dyDescent="0.25">
      <c r="A15" s="1311" t="s">
        <v>82</v>
      </c>
      <c r="B15" s="1312" t="s">
        <v>73</v>
      </c>
      <c r="C15" s="1311" t="s">
        <v>341</v>
      </c>
      <c r="D15" s="67" t="s">
        <v>25</v>
      </c>
      <c r="E15" s="527">
        <v>0</v>
      </c>
    </row>
    <row r="16" spans="1:5" outlineLevel="2" x14ac:dyDescent="0.25">
      <c r="A16" s="1311"/>
      <c r="B16" s="1312"/>
      <c r="C16" s="1311"/>
      <c r="D16" s="68" t="s">
        <v>26</v>
      </c>
      <c r="E16" s="527">
        <v>0</v>
      </c>
    </row>
    <row r="17" spans="1:5" outlineLevel="2" x14ac:dyDescent="0.25">
      <c r="A17" s="1311"/>
      <c r="B17" s="1312"/>
      <c r="C17" s="1311"/>
      <c r="D17" s="68" t="s">
        <v>27</v>
      </c>
      <c r="E17" s="527">
        <v>0</v>
      </c>
    </row>
    <row r="18" spans="1:5" outlineLevel="2" x14ac:dyDescent="0.25">
      <c r="A18" s="1311"/>
      <c r="B18" s="1312"/>
      <c r="C18" s="1311"/>
      <c r="D18" s="68" t="s">
        <v>28</v>
      </c>
      <c r="E18" s="527">
        <v>0</v>
      </c>
    </row>
    <row r="19" spans="1:5" outlineLevel="2" x14ac:dyDescent="0.25">
      <c r="A19" s="1311"/>
      <c r="B19" s="1312"/>
      <c r="C19" s="1311"/>
      <c r="D19" s="68" t="s">
        <v>29</v>
      </c>
      <c r="E19" s="527">
        <v>0</v>
      </c>
    </row>
    <row r="20" spans="1:5" outlineLevel="2" x14ac:dyDescent="0.25">
      <c r="A20" s="1311"/>
      <c r="B20" s="1312"/>
      <c r="C20" s="1311"/>
      <c r="D20" s="68" t="s">
        <v>30</v>
      </c>
      <c r="E20" s="527">
        <v>0</v>
      </c>
    </row>
    <row r="21" spans="1:5" outlineLevel="2" x14ac:dyDescent="0.25">
      <c r="A21" s="1311"/>
      <c r="B21" s="1312"/>
      <c r="C21" s="1311"/>
      <c r="D21" s="68" t="s">
        <v>31</v>
      </c>
      <c r="E21" s="527">
        <v>0</v>
      </c>
    </row>
    <row r="22" spans="1:5" outlineLevel="2" x14ac:dyDescent="0.25">
      <c r="A22" s="1311"/>
      <c r="B22" s="1312"/>
      <c r="C22" s="1311"/>
      <c r="D22" s="68" t="s">
        <v>32</v>
      </c>
      <c r="E22" s="527">
        <v>0</v>
      </c>
    </row>
    <row r="23" spans="1:5" outlineLevel="2" x14ac:dyDescent="0.25">
      <c r="A23" s="1311"/>
      <c r="B23" s="1312"/>
      <c r="C23" s="1311"/>
      <c r="D23" s="68" t="s">
        <v>33</v>
      </c>
      <c r="E23" s="527">
        <v>0</v>
      </c>
    </row>
    <row r="24" spans="1:5" ht="15.75" outlineLevel="2" thickBot="1" x14ac:dyDescent="0.3">
      <c r="A24" s="1311"/>
      <c r="B24" s="1312"/>
      <c r="C24" s="1311"/>
      <c r="D24" s="69" t="s">
        <v>34</v>
      </c>
      <c r="E24" s="536">
        <v>0</v>
      </c>
    </row>
    <row r="25" spans="1:5" ht="15.75" outlineLevel="1" thickBot="1" x14ac:dyDescent="0.3">
      <c r="A25" s="17" t="s">
        <v>105</v>
      </c>
      <c r="B25" s="17"/>
      <c r="C25" s="17"/>
      <c r="D25" s="28"/>
      <c r="E25" s="559">
        <f>SUM(E26:E75)</f>
        <v>315647.99999999994</v>
      </c>
    </row>
    <row r="26" spans="1:5" outlineLevel="2" x14ac:dyDescent="0.25">
      <c r="A26" s="1311" t="s">
        <v>83</v>
      </c>
      <c r="B26" s="1312" t="s">
        <v>81</v>
      </c>
      <c r="C26" s="1311" t="s">
        <v>340</v>
      </c>
      <c r="D26" s="67" t="s">
        <v>25</v>
      </c>
      <c r="E26" s="540">
        <v>0</v>
      </c>
    </row>
    <row r="27" spans="1:5" outlineLevel="2" x14ac:dyDescent="0.25">
      <c r="A27" s="1311"/>
      <c r="B27" s="1312"/>
      <c r="C27" s="1311"/>
      <c r="D27" s="68" t="s">
        <v>26</v>
      </c>
      <c r="E27" s="545">
        <v>0</v>
      </c>
    </row>
    <row r="28" spans="1:5" outlineLevel="2" x14ac:dyDescent="0.25">
      <c r="A28" s="1311"/>
      <c r="B28" s="1312"/>
      <c r="C28" s="1311"/>
      <c r="D28" s="68" t="s">
        <v>27</v>
      </c>
      <c r="E28" s="545">
        <v>0</v>
      </c>
    </row>
    <row r="29" spans="1:5" outlineLevel="2" x14ac:dyDescent="0.25">
      <c r="A29" s="1311"/>
      <c r="B29" s="1312"/>
      <c r="C29" s="1311"/>
      <c r="D29" s="68" t="s">
        <v>28</v>
      </c>
      <c r="E29" s="545">
        <v>0</v>
      </c>
    </row>
    <row r="30" spans="1:5" outlineLevel="2" x14ac:dyDescent="0.25">
      <c r="A30" s="1311"/>
      <c r="B30" s="1312"/>
      <c r="C30" s="1311"/>
      <c r="D30" s="68" t="s">
        <v>29</v>
      </c>
      <c r="E30" s="545">
        <v>0</v>
      </c>
    </row>
    <row r="31" spans="1:5" outlineLevel="2" x14ac:dyDescent="0.25">
      <c r="A31" s="1311"/>
      <c r="B31" s="1312"/>
      <c r="C31" s="1311"/>
      <c r="D31" s="68" t="s">
        <v>30</v>
      </c>
      <c r="E31" s="545">
        <v>0</v>
      </c>
    </row>
    <row r="32" spans="1:5" outlineLevel="2" x14ac:dyDescent="0.25">
      <c r="A32" s="1311"/>
      <c r="B32" s="1312"/>
      <c r="C32" s="1311"/>
      <c r="D32" s="68" t="s">
        <v>31</v>
      </c>
      <c r="E32" s="545">
        <v>0</v>
      </c>
    </row>
    <row r="33" spans="1:5" outlineLevel="2" x14ac:dyDescent="0.25">
      <c r="A33" s="1311"/>
      <c r="B33" s="1312"/>
      <c r="C33" s="1311"/>
      <c r="D33" s="68" t="s">
        <v>32</v>
      </c>
      <c r="E33" s="545">
        <v>0</v>
      </c>
    </row>
    <row r="34" spans="1:5" outlineLevel="2" x14ac:dyDescent="0.25">
      <c r="A34" s="1311"/>
      <c r="B34" s="1312"/>
      <c r="C34" s="1311"/>
      <c r="D34" s="68" t="s">
        <v>33</v>
      </c>
      <c r="E34" s="545">
        <v>0</v>
      </c>
    </row>
    <row r="35" spans="1:5" ht="15.75" outlineLevel="2" thickBot="1" x14ac:dyDescent="0.3">
      <c r="A35" s="1311"/>
      <c r="B35" s="1312"/>
      <c r="C35" s="1311"/>
      <c r="D35" s="69" t="s">
        <v>34</v>
      </c>
      <c r="E35" s="550">
        <v>0</v>
      </c>
    </row>
    <row r="36" spans="1:5" outlineLevel="2" x14ac:dyDescent="0.25">
      <c r="A36" s="1311" t="s">
        <v>84</v>
      </c>
      <c r="B36" s="1312" t="s">
        <v>78</v>
      </c>
      <c r="C36" s="1311" t="s">
        <v>342</v>
      </c>
      <c r="D36" s="67" t="s">
        <v>25</v>
      </c>
      <c r="E36" s="545">
        <f>(1+Faktory!$D$17)*26304</f>
        <v>31564.799999999999</v>
      </c>
    </row>
    <row r="37" spans="1:5" outlineLevel="2" x14ac:dyDescent="0.25">
      <c r="A37" s="1311"/>
      <c r="B37" s="1312"/>
      <c r="C37" s="1311"/>
      <c r="D37" s="68" t="s">
        <v>26</v>
      </c>
      <c r="E37" s="545">
        <f>E36</f>
        <v>31564.799999999999</v>
      </c>
    </row>
    <row r="38" spans="1:5" outlineLevel="2" x14ac:dyDescent="0.25">
      <c r="A38" s="1311"/>
      <c r="B38" s="1312"/>
      <c r="C38" s="1311"/>
      <c r="D38" s="68" t="s">
        <v>27</v>
      </c>
      <c r="E38" s="545">
        <f t="shared" ref="E38:E45" si="0">E37</f>
        <v>31564.799999999999</v>
      </c>
    </row>
    <row r="39" spans="1:5" outlineLevel="2" x14ac:dyDescent="0.25">
      <c r="A39" s="1311"/>
      <c r="B39" s="1312"/>
      <c r="C39" s="1311"/>
      <c r="D39" s="68" t="s">
        <v>28</v>
      </c>
      <c r="E39" s="545">
        <f t="shared" si="0"/>
        <v>31564.799999999999</v>
      </c>
    </row>
    <row r="40" spans="1:5" outlineLevel="2" x14ac:dyDescent="0.25">
      <c r="A40" s="1311"/>
      <c r="B40" s="1312"/>
      <c r="C40" s="1311"/>
      <c r="D40" s="68" t="s">
        <v>29</v>
      </c>
      <c r="E40" s="545">
        <f t="shared" si="0"/>
        <v>31564.799999999999</v>
      </c>
    </row>
    <row r="41" spans="1:5" outlineLevel="2" x14ac:dyDescent="0.25">
      <c r="A41" s="1311"/>
      <c r="B41" s="1312"/>
      <c r="C41" s="1311"/>
      <c r="D41" s="68" t="s">
        <v>30</v>
      </c>
      <c r="E41" s="545">
        <f t="shared" si="0"/>
        <v>31564.799999999999</v>
      </c>
    </row>
    <row r="42" spans="1:5" outlineLevel="2" x14ac:dyDescent="0.25">
      <c r="A42" s="1311"/>
      <c r="B42" s="1312"/>
      <c r="C42" s="1311"/>
      <c r="D42" s="68" t="s">
        <v>31</v>
      </c>
      <c r="E42" s="545">
        <f t="shared" si="0"/>
        <v>31564.799999999999</v>
      </c>
    </row>
    <row r="43" spans="1:5" outlineLevel="2" x14ac:dyDescent="0.25">
      <c r="A43" s="1311"/>
      <c r="B43" s="1312"/>
      <c r="C43" s="1311"/>
      <c r="D43" s="68" t="s">
        <v>32</v>
      </c>
      <c r="E43" s="545">
        <f t="shared" si="0"/>
        <v>31564.799999999999</v>
      </c>
    </row>
    <row r="44" spans="1:5" outlineLevel="2" x14ac:dyDescent="0.25">
      <c r="A44" s="1311"/>
      <c r="B44" s="1312"/>
      <c r="C44" s="1311"/>
      <c r="D44" s="68" t="s">
        <v>33</v>
      </c>
      <c r="E44" s="545">
        <f t="shared" si="0"/>
        <v>31564.799999999999</v>
      </c>
    </row>
    <row r="45" spans="1:5" ht="15.75" outlineLevel="2" thickBot="1" x14ac:dyDescent="0.3">
      <c r="A45" s="1311"/>
      <c r="B45" s="1312"/>
      <c r="C45" s="1311"/>
      <c r="D45" s="69" t="s">
        <v>34</v>
      </c>
      <c r="E45" s="550">
        <f t="shared" si="0"/>
        <v>31564.799999999999</v>
      </c>
    </row>
    <row r="46" spans="1:5" outlineLevel="2" x14ac:dyDescent="0.25">
      <c r="A46" s="1311" t="s">
        <v>85</v>
      </c>
      <c r="B46" s="1312" t="s">
        <v>73</v>
      </c>
      <c r="C46" s="1311" t="s">
        <v>341</v>
      </c>
      <c r="D46" s="67" t="s">
        <v>25</v>
      </c>
      <c r="E46" s="545">
        <v>0</v>
      </c>
    </row>
    <row r="47" spans="1:5" outlineLevel="2" x14ac:dyDescent="0.25">
      <c r="A47" s="1311"/>
      <c r="B47" s="1312"/>
      <c r="C47" s="1311"/>
      <c r="D47" s="68" t="s">
        <v>26</v>
      </c>
      <c r="E47" s="545">
        <v>0</v>
      </c>
    </row>
    <row r="48" spans="1:5" outlineLevel="2" x14ac:dyDescent="0.25">
      <c r="A48" s="1311"/>
      <c r="B48" s="1312"/>
      <c r="C48" s="1311"/>
      <c r="D48" s="68" t="s">
        <v>27</v>
      </c>
      <c r="E48" s="545">
        <v>0</v>
      </c>
    </row>
    <row r="49" spans="1:5" outlineLevel="2" x14ac:dyDescent="0.25">
      <c r="A49" s="1311"/>
      <c r="B49" s="1312"/>
      <c r="C49" s="1311"/>
      <c r="D49" s="68" t="s">
        <v>28</v>
      </c>
      <c r="E49" s="545">
        <v>0</v>
      </c>
    </row>
    <row r="50" spans="1:5" outlineLevel="2" x14ac:dyDescent="0.25">
      <c r="A50" s="1311"/>
      <c r="B50" s="1312"/>
      <c r="C50" s="1311"/>
      <c r="D50" s="68" t="s">
        <v>29</v>
      </c>
      <c r="E50" s="545">
        <v>0</v>
      </c>
    </row>
    <row r="51" spans="1:5" outlineLevel="2" x14ac:dyDescent="0.25">
      <c r="A51" s="1311"/>
      <c r="B51" s="1312"/>
      <c r="C51" s="1311"/>
      <c r="D51" s="68" t="s">
        <v>30</v>
      </c>
      <c r="E51" s="545">
        <v>0</v>
      </c>
    </row>
    <row r="52" spans="1:5" outlineLevel="2" x14ac:dyDescent="0.25">
      <c r="A52" s="1311"/>
      <c r="B52" s="1312"/>
      <c r="C52" s="1311"/>
      <c r="D52" s="68" t="s">
        <v>31</v>
      </c>
      <c r="E52" s="545">
        <v>0</v>
      </c>
    </row>
    <row r="53" spans="1:5" outlineLevel="2" x14ac:dyDescent="0.25">
      <c r="A53" s="1311"/>
      <c r="B53" s="1312"/>
      <c r="C53" s="1311"/>
      <c r="D53" s="68" t="s">
        <v>32</v>
      </c>
      <c r="E53" s="545">
        <v>0</v>
      </c>
    </row>
    <row r="54" spans="1:5" outlineLevel="2" x14ac:dyDescent="0.25">
      <c r="A54" s="1311"/>
      <c r="B54" s="1312"/>
      <c r="C54" s="1311"/>
      <c r="D54" s="68" t="s">
        <v>33</v>
      </c>
      <c r="E54" s="545">
        <v>0</v>
      </c>
    </row>
    <row r="55" spans="1:5" ht="15.75" outlineLevel="2" thickBot="1" x14ac:dyDescent="0.3">
      <c r="A55" s="1311"/>
      <c r="B55" s="1312"/>
      <c r="C55" s="1311"/>
      <c r="D55" s="69" t="s">
        <v>34</v>
      </c>
      <c r="E55" s="550">
        <v>0</v>
      </c>
    </row>
    <row r="56" spans="1:5" outlineLevel="2" x14ac:dyDescent="0.25">
      <c r="A56" s="1311" t="s">
        <v>86</v>
      </c>
      <c r="B56" s="1312" t="s">
        <v>87</v>
      </c>
      <c r="C56" s="1312"/>
      <c r="D56" s="67" t="s">
        <v>25</v>
      </c>
      <c r="E56" s="545">
        <v>0</v>
      </c>
    </row>
    <row r="57" spans="1:5" outlineLevel="2" x14ac:dyDescent="0.25">
      <c r="A57" s="1311"/>
      <c r="B57" s="1312"/>
      <c r="C57" s="1312"/>
      <c r="D57" s="68" t="s">
        <v>26</v>
      </c>
      <c r="E57" s="545">
        <v>0</v>
      </c>
    </row>
    <row r="58" spans="1:5" outlineLevel="2" x14ac:dyDescent="0.25">
      <c r="A58" s="1311"/>
      <c r="B58" s="1312"/>
      <c r="C58" s="1312"/>
      <c r="D58" s="68" t="s">
        <v>27</v>
      </c>
      <c r="E58" s="545">
        <v>0</v>
      </c>
    </row>
    <row r="59" spans="1:5" outlineLevel="2" x14ac:dyDescent="0.25">
      <c r="A59" s="1311"/>
      <c r="B59" s="1312"/>
      <c r="C59" s="1312"/>
      <c r="D59" s="68" t="s">
        <v>28</v>
      </c>
      <c r="E59" s="545">
        <v>0</v>
      </c>
    </row>
    <row r="60" spans="1:5" outlineLevel="2" x14ac:dyDescent="0.25">
      <c r="A60" s="1311"/>
      <c r="B60" s="1312"/>
      <c r="C60" s="1312"/>
      <c r="D60" s="68" t="s">
        <v>29</v>
      </c>
      <c r="E60" s="545">
        <v>0</v>
      </c>
    </row>
    <row r="61" spans="1:5" outlineLevel="2" x14ac:dyDescent="0.25">
      <c r="A61" s="1311"/>
      <c r="B61" s="1312"/>
      <c r="C61" s="1312"/>
      <c r="D61" s="68" t="s">
        <v>30</v>
      </c>
      <c r="E61" s="545">
        <v>0</v>
      </c>
    </row>
    <row r="62" spans="1:5" outlineLevel="2" x14ac:dyDescent="0.25">
      <c r="A62" s="1311"/>
      <c r="B62" s="1312"/>
      <c r="C62" s="1312"/>
      <c r="D62" s="68" t="s">
        <v>31</v>
      </c>
      <c r="E62" s="545">
        <v>0</v>
      </c>
    </row>
    <row r="63" spans="1:5" outlineLevel="2" x14ac:dyDescent="0.25">
      <c r="A63" s="1311"/>
      <c r="B63" s="1312"/>
      <c r="C63" s="1312"/>
      <c r="D63" s="68" t="s">
        <v>32</v>
      </c>
      <c r="E63" s="545">
        <v>0</v>
      </c>
    </row>
    <row r="64" spans="1:5" outlineLevel="2" x14ac:dyDescent="0.25">
      <c r="A64" s="1311"/>
      <c r="B64" s="1312"/>
      <c r="C64" s="1312"/>
      <c r="D64" s="68" t="s">
        <v>33</v>
      </c>
      <c r="E64" s="545">
        <v>0</v>
      </c>
    </row>
    <row r="65" spans="1:5" ht="15.75" outlineLevel="2" thickBot="1" x14ac:dyDescent="0.3">
      <c r="A65" s="1311"/>
      <c r="B65" s="1312"/>
      <c r="C65" s="1312"/>
      <c r="D65" s="69" t="s">
        <v>34</v>
      </c>
      <c r="E65" s="550">
        <v>0</v>
      </c>
    </row>
    <row r="66" spans="1:5" outlineLevel="2" x14ac:dyDescent="0.25">
      <c r="A66" s="1311" t="s">
        <v>77</v>
      </c>
      <c r="B66" s="1312" t="s">
        <v>78</v>
      </c>
      <c r="C66" s="1311" t="s">
        <v>339</v>
      </c>
      <c r="D66" s="67" t="s">
        <v>25</v>
      </c>
      <c r="E66" s="545">
        <v>0</v>
      </c>
    </row>
    <row r="67" spans="1:5" outlineLevel="2" x14ac:dyDescent="0.25">
      <c r="A67" s="1311"/>
      <c r="B67" s="1312"/>
      <c r="C67" s="1311"/>
      <c r="D67" s="68" t="s">
        <v>26</v>
      </c>
      <c r="E67" s="545">
        <v>0</v>
      </c>
    </row>
    <row r="68" spans="1:5" outlineLevel="2" x14ac:dyDescent="0.25">
      <c r="A68" s="1311"/>
      <c r="B68" s="1312"/>
      <c r="C68" s="1311"/>
      <c r="D68" s="68" t="s">
        <v>27</v>
      </c>
      <c r="E68" s="545">
        <v>0</v>
      </c>
    </row>
    <row r="69" spans="1:5" outlineLevel="2" x14ac:dyDescent="0.25">
      <c r="A69" s="1311"/>
      <c r="B69" s="1312"/>
      <c r="C69" s="1311"/>
      <c r="D69" s="68" t="s">
        <v>28</v>
      </c>
      <c r="E69" s="545">
        <v>0</v>
      </c>
    </row>
    <row r="70" spans="1:5" outlineLevel="2" x14ac:dyDescent="0.25">
      <c r="A70" s="1311"/>
      <c r="B70" s="1312"/>
      <c r="C70" s="1311"/>
      <c r="D70" s="68" t="s">
        <v>29</v>
      </c>
      <c r="E70" s="545">
        <v>0</v>
      </c>
    </row>
    <row r="71" spans="1:5" outlineLevel="2" x14ac:dyDescent="0.25">
      <c r="A71" s="1311"/>
      <c r="B71" s="1312"/>
      <c r="C71" s="1311"/>
      <c r="D71" s="68" t="s">
        <v>30</v>
      </c>
      <c r="E71" s="545">
        <v>0</v>
      </c>
    </row>
    <row r="72" spans="1:5" outlineLevel="2" x14ac:dyDescent="0.25">
      <c r="A72" s="1311"/>
      <c r="B72" s="1312"/>
      <c r="C72" s="1311"/>
      <c r="D72" s="68" t="s">
        <v>31</v>
      </c>
      <c r="E72" s="545">
        <v>0</v>
      </c>
    </row>
    <row r="73" spans="1:5" outlineLevel="2" x14ac:dyDescent="0.25">
      <c r="A73" s="1311"/>
      <c r="B73" s="1312"/>
      <c r="C73" s="1311"/>
      <c r="D73" s="68" t="s">
        <v>32</v>
      </c>
      <c r="E73" s="545">
        <v>0</v>
      </c>
    </row>
    <row r="74" spans="1:5" outlineLevel="2" x14ac:dyDescent="0.25">
      <c r="A74" s="1311"/>
      <c r="B74" s="1312"/>
      <c r="C74" s="1311"/>
      <c r="D74" s="68" t="s">
        <v>33</v>
      </c>
      <c r="E74" s="545">
        <v>0</v>
      </c>
    </row>
    <row r="75" spans="1:5" ht="15.75" outlineLevel="2" thickBot="1" x14ac:dyDescent="0.3">
      <c r="A75" s="1311"/>
      <c r="B75" s="1312"/>
      <c r="C75" s="1311"/>
      <c r="D75" s="69" t="s">
        <v>34</v>
      </c>
      <c r="E75" s="550">
        <v>0</v>
      </c>
    </row>
    <row r="77" spans="1:5" ht="30.6" customHeight="1" x14ac:dyDescent="0.25">
      <c r="A77" s="1310" t="s">
        <v>370</v>
      </c>
      <c r="B77" s="1310"/>
      <c r="C77" s="1310"/>
      <c r="D77" s="1310"/>
      <c r="E77" s="1310"/>
    </row>
  </sheetData>
  <mergeCells count="24">
    <mergeCell ref="A1:D1"/>
    <mergeCell ref="A3:C3"/>
    <mergeCell ref="A5:A14"/>
    <mergeCell ref="B5:B14"/>
    <mergeCell ref="C5:C14"/>
    <mergeCell ref="A15:A24"/>
    <mergeCell ref="B15:B24"/>
    <mergeCell ref="C15:C24"/>
    <mergeCell ref="A26:A35"/>
    <mergeCell ref="B26:B35"/>
    <mergeCell ref="C26:C35"/>
    <mergeCell ref="A36:A45"/>
    <mergeCell ref="B36:B45"/>
    <mergeCell ref="C36:C45"/>
    <mergeCell ref="A46:A55"/>
    <mergeCell ref="B46:B55"/>
    <mergeCell ref="C46:C55"/>
    <mergeCell ref="A77:E77"/>
    <mergeCell ref="A56:A65"/>
    <mergeCell ref="B56:B65"/>
    <mergeCell ref="C56:C65"/>
    <mergeCell ref="A66:A75"/>
    <mergeCell ref="B66:B75"/>
    <mergeCell ref="C66:C75"/>
  </mergeCells>
  <pageMargins left="0.7" right="0.7" top="0.75" bottom="0.75" header="0.3" footer="0.3"/>
  <pageSetup paperSize="9" scale="6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outlinePr summaryBelow="0" summaryRight="0"/>
  </sheetPr>
  <dimension ref="A1:E55"/>
  <sheetViews>
    <sheetView zoomScaleNormal="100" workbookViewId="0">
      <selection activeCell="C44" sqref="C44:C53"/>
    </sheetView>
  </sheetViews>
  <sheetFormatPr defaultColWidth="8.85546875" defaultRowHeight="15" outlineLevelRow="1" x14ac:dyDescent="0.25"/>
  <cols>
    <col min="1" max="1" width="22.42578125" customWidth="1"/>
    <col min="2" max="2" width="18.42578125" customWidth="1"/>
    <col min="3" max="3" width="16.85546875" customWidth="1"/>
    <col min="5" max="5" width="17.85546875" customWidth="1"/>
  </cols>
  <sheetData>
    <row r="1" spans="1:5" ht="25.35" customHeight="1" thickBot="1" x14ac:dyDescent="0.4">
      <c r="A1" s="1313" t="s">
        <v>628</v>
      </c>
      <c r="B1" s="1313"/>
      <c r="C1" s="1313"/>
      <c r="D1" s="1314"/>
      <c r="E1" s="70" t="s">
        <v>35</v>
      </c>
    </row>
    <row r="2" spans="1:5" ht="26.25" thickBot="1" x14ac:dyDescent="0.3">
      <c r="A2" s="40" t="s">
        <v>0</v>
      </c>
      <c r="B2" s="75" t="s">
        <v>75</v>
      </c>
      <c r="C2" s="75" t="s">
        <v>74</v>
      </c>
      <c r="D2" s="75" t="s">
        <v>23</v>
      </c>
      <c r="E2" s="17"/>
    </row>
    <row r="3" spans="1:5" ht="15.75" thickBot="1" x14ac:dyDescent="0.3">
      <c r="A3" s="1317" t="s">
        <v>89</v>
      </c>
      <c r="B3" s="1317"/>
      <c r="C3" s="1317"/>
      <c r="D3" s="76"/>
      <c r="E3" s="518">
        <f>SUM(E4:E53)</f>
        <v>0</v>
      </c>
    </row>
    <row r="4" spans="1:5" outlineLevel="1" x14ac:dyDescent="0.25">
      <c r="A4" s="1311" t="s">
        <v>94</v>
      </c>
      <c r="B4" s="1312" t="s">
        <v>81</v>
      </c>
      <c r="C4" s="1311" t="s">
        <v>360</v>
      </c>
      <c r="D4" s="67" t="s">
        <v>25</v>
      </c>
      <c r="E4" s="540">
        <v>0</v>
      </c>
    </row>
    <row r="5" spans="1:5" outlineLevel="1" x14ac:dyDescent="0.25">
      <c r="A5" s="1311"/>
      <c r="B5" s="1312"/>
      <c r="C5" s="1311"/>
      <c r="D5" s="68" t="s">
        <v>26</v>
      </c>
      <c r="E5" s="545">
        <v>0</v>
      </c>
    </row>
    <row r="6" spans="1:5" outlineLevel="1" x14ac:dyDescent="0.25">
      <c r="A6" s="1311"/>
      <c r="B6" s="1312"/>
      <c r="C6" s="1311"/>
      <c r="D6" s="68" t="s">
        <v>27</v>
      </c>
      <c r="E6" s="545">
        <v>0</v>
      </c>
    </row>
    <row r="7" spans="1:5" outlineLevel="1" x14ac:dyDescent="0.25">
      <c r="A7" s="1311"/>
      <c r="B7" s="1312"/>
      <c r="C7" s="1311"/>
      <c r="D7" s="68" t="s">
        <v>28</v>
      </c>
      <c r="E7" s="545">
        <v>0</v>
      </c>
    </row>
    <row r="8" spans="1:5" outlineLevel="1" x14ac:dyDescent="0.25">
      <c r="A8" s="1311"/>
      <c r="B8" s="1312"/>
      <c r="C8" s="1311"/>
      <c r="D8" s="68" t="s">
        <v>29</v>
      </c>
      <c r="E8" s="545">
        <v>0</v>
      </c>
    </row>
    <row r="9" spans="1:5" outlineLevel="1" x14ac:dyDescent="0.25">
      <c r="A9" s="1311"/>
      <c r="B9" s="1312"/>
      <c r="C9" s="1311"/>
      <c r="D9" s="68" t="s">
        <v>30</v>
      </c>
      <c r="E9" s="545">
        <v>0</v>
      </c>
    </row>
    <row r="10" spans="1:5" outlineLevel="1" x14ac:dyDescent="0.25">
      <c r="A10" s="1311"/>
      <c r="B10" s="1312"/>
      <c r="C10" s="1311"/>
      <c r="D10" s="68" t="s">
        <v>31</v>
      </c>
      <c r="E10" s="545">
        <v>0</v>
      </c>
    </row>
    <row r="11" spans="1:5" outlineLevel="1" x14ac:dyDescent="0.25">
      <c r="A11" s="1311"/>
      <c r="B11" s="1312"/>
      <c r="C11" s="1311"/>
      <c r="D11" s="68" t="s">
        <v>32</v>
      </c>
      <c r="E11" s="545">
        <v>0</v>
      </c>
    </row>
    <row r="12" spans="1:5" outlineLevel="1" x14ac:dyDescent="0.25">
      <c r="A12" s="1311"/>
      <c r="B12" s="1312"/>
      <c r="C12" s="1311"/>
      <c r="D12" s="68" t="s">
        <v>33</v>
      </c>
      <c r="E12" s="545">
        <v>0</v>
      </c>
    </row>
    <row r="13" spans="1:5" ht="15.75" outlineLevel="1" thickBot="1" x14ac:dyDescent="0.3">
      <c r="A13" s="1311"/>
      <c r="B13" s="1312"/>
      <c r="C13" s="1311"/>
      <c r="D13" s="69" t="s">
        <v>34</v>
      </c>
      <c r="E13" s="550">
        <v>0</v>
      </c>
    </row>
    <row r="14" spans="1:5" outlineLevel="1" x14ac:dyDescent="0.25">
      <c r="A14" s="1311" t="s">
        <v>95</v>
      </c>
      <c r="B14" s="1311" t="s">
        <v>93</v>
      </c>
      <c r="C14" s="1311" t="s">
        <v>361</v>
      </c>
      <c r="D14" s="67" t="s">
        <v>25</v>
      </c>
      <c r="E14" s="545">
        <v>0</v>
      </c>
    </row>
    <row r="15" spans="1:5" outlineLevel="1" x14ac:dyDescent="0.25">
      <c r="A15" s="1311"/>
      <c r="B15" s="1312"/>
      <c r="C15" s="1311"/>
      <c r="D15" s="68" t="s">
        <v>26</v>
      </c>
      <c r="E15" s="545">
        <v>0</v>
      </c>
    </row>
    <row r="16" spans="1:5" outlineLevel="1" x14ac:dyDescent="0.25">
      <c r="A16" s="1311"/>
      <c r="B16" s="1312"/>
      <c r="C16" s="1311"/>
      <c r="D16" s="68" t="s">
        <v>27</v>
      </c>
      <c r="E16" s="545">
        <v>0</v>
      </c>
    </row>
    <row r="17" spans="1:5" outlineLevel="1" x14ac:dyDescent="0.25">
      <c r="A17" s="1311"/>
      <c r="B17" s="1312"/>
      <c r="C17" s="1311"/>
      <c r="D17" s="68" t="s">
        <v>28</v>
      </c>
      <c r="E17" s="545">
        <v>0</v>
      </c>
    </row>
    <row r="18" spans="1:5" outlineLevel="1" x14ac:dyDescent="0.25">
      <c r="A18" s="1311"/>
      <c r="B18" s="1312"/>
      <c r="C18" s="1311"/>
      <c r="D18" s="68" t="s">
        <v>29</v>
      </c>
      <c r="E18" s="545">
        <v>0</v>
      </c>
    </row>
    <row r="19" spans="1:5" outlineLevel="1" x14ac:dyDescent="0.25">
      <c r="A19" s="1311"/>
      <c r="B19" s="1312"/>
      <c r="C19" s="1311"/>
      <c r="D19" s="68" t="s">
        <v>30</v>
      </c>
      <c r="E19" s="545">
        <v>0</v>
      </c>
    </row>
    <row r="20" spans="1:5" outlineLevel="1" x14ac:dyDescent="0.25">
      <c r="A20" s="1311"/>
      <c r="B20" s="1312"/>
      <c r="C20" s="1311"/>
      <c r="D20" s="68" t="s">
        <v>31</v>
      </c>
      <c r="E20" s="545">
        <v>0</v>
      </c>
    </row>
    <row r="21" spans="1:5" outlineLevel="1" x14ac:dyDescent="0.25">
      <c r="A21" s="1311"/>
      <c r="B21" s="1312"/>
      <c r="C21" s="1311"/>
      <c r="D21" s="68" t="s">
        <v>32</v>
      </c>
      <c r="E21" s="545">
        <v>0</v>
      </c>
    </row>
    <row r="22" spans="1:5" outlineLevel="1" x14ac:dyDescent="0.25">
      <c r="A22" s="1311"/>
      <c r="B22" s="1312"/>
      <c r="C22" s="1311"/>
      <c r="D22" s="68" t="s">
        <v>33</v>
      </c>
      <c r="E22" s="545">
        <v>0</v>
      </c>
    </row>
    <row r="23" spans="1:5" ht="15.75" outlineLevel="1" thickBot="1" x14ac:dyDescent="0.3">
      <c r="A23" s="1311"/>
      <c r="B23" s="1312"/>
      <c r="C23" s="1311"/>
      <c r="D23" s="69" t="s">
        <v>34</v>
      </c>
      <c r="E23" s="550">
        <v>0</v>
      </c>
    </row>
    <row r="24" spans="1:5" outlineLevel="1" x14ac:dyDescent="0.25">
      <c r="A24" s="1311" t="s">
        <v>96</v>
      </c>
      <c r="B24" s="1312"/>
      <c r="C24" s="1312"/>
      <c r="D24" s="67" t="s">
        <v>25</v>
      </c>
      <c r="E24" s="545">
        <v>0</v>
      </c>
    </row>
    <row r="25" spans="1:5" outlineLevel="1" x14ac:dyDescent="0.25">
      <c r="A25" s="1311"/>
      <c r="B25" s="1312"/>
      <c r="C25" s="1312"/>
      <c r="D25" s="68" t="s">
        <v>26</v>
      </c>
      <c r="E25" s="545">
        <v>0</v>
      </c>
    </row>
    <row r="26" spans="1:5" outlineLevel="1" x14ac:dyDescent="0.25">
      <c r="A26" s="1311"/>
      <c r="B26" s="1312"/>
      <c r="C26" s="1312"/>
      <c r="D26" s="68" t="s">
        <v>27</v>
      </c>
      <c r="E26" s="545">
        <v>0</v>
      </c>
    </row>
    <row r="27" spans="1:5" outlineLevel="1" x14ac:dyDescent="0.25">
      <c r="A27" s="1311"/>
      <c r="B27" s="1312"/>
      <c r="C27" s="1312"/>
      <c r="D27" s="68" t="s">
        <v>28</v>
      </c>
      <c r="E27" s="545">
        <v>0</v>
      </c>
    </row>
    <row r="28" spans="1:5" outlineLevel="1" x14ac:dyDescent="0.25">
      <c r="A28" s="1311"/>
      <c r="B28" s="1312"/>
      <c r="C28" s="1312"/>
      <c r="D28" s="68" t="s">
        <v>29</v>
      </c>
      <c r="E28" s="545">
        <v>0</v>
      </c>
    </row>
    <row r="29" spans="1:5" outlineLevel="1" x14ac:dyDescent="0.25">
      <c r="A29" s="1311"/>
      <c r="B29" s="1312"/>
      <c r="C29" s="1312"/>
      <c r="D29" s="68" t="s">
        <v>30</v>
      </c>
      <c r="E29" s="545">
        <v>0</v>
      </c>
    </row>
    <row r="30" spans="1:5" outlineLevel="1" x14ac:dyDescent="0.25">
      <c r="A30" s="1311"/>
      <c r="B30" s="1312"/>
      <c r="C30" s="1312"/>
      <c r="D30" s="68" t="s">
        <v>31</v>
      </c>
      <c r="E30" s="545">
        <v>0</v>
      </c>
    </row>
    <row r="31" spans="1:5" outlineLevel="1" x14ac:dyDescent="0.25">
      <c r="A31" s="1311"/>
      <c r="B31" s="1312"/>
      <c r="C31" s="1312"/>
      <c r="D31" s="68" t="s">
        <v>32</v>
      </c>
      <c r="E31" s="545">
        <v>0</v>
      </c>
    </row>
    <row r="32" spans="1:5" outlineLevel="1" x14ac:dyDescent="0.25">
      <c r="A32" s="1311"/>
      <c r="B32" s="1312"/>
      <c r="C32" s="1312"/>
      <c r="D32" s="68" t="s">
        <v>33</v>
      </c>
      <c r="E32" s="545">
        <v>0</v>
      </c>
    </row>
    <row r="33" spans="1:5" ht="15.75" outlineLevel="1" thickBot="1" x14ac:dyDescent="0.3">
      <c r="A33" s="1311"/>
      <c r="B33" s="1312"/>
      <c r="C33" s="1312"/>
      <c r="D33" s="69" t="s">
        <v>34</v>
      </c>
      <c r="E33" s="550">
        <v>0</v>
      </c>
    </row>
    <row r="34" spans="1:5" outlineLevel="1" x14ac:dyDescent="0.25">
      <c r="A34" s="1311" t="s">
        <v>97</v>
      </c>
      <c r="B34" s="1312"/>
      <c r="C34" s="1312"/>
      <c r="D34" s="67" t="s">
        <v>25</v>
      </c>
      <c r="E34" s="545">
        <v>0</v>
      </c>
    </row>
    <row r="35" spans="1:5" outlineLevel="1" x14ac:dyDescent="0.25">
      <c r="A35" s="1311"/>
      <c r="B35" s="1312"/>
      <c r="C35" s="1312"/>
      <c r="D35" s="68" t="s">
        <v>26</v>
      </c>
      <c r="E35" s="545">
        <v>0</v>
      </c>
    </row>
    <row r="36" spans="1:5" outlineLevel="1" x14ac:dyDescent="0.25">
      <c r="A36" s="1311"/>
      <c r="B36" s="1312"/>
      <c r="C36" s="1312"/>
      <c r="D36" s="68" t="s">
        <v>27</v>
      </c>
      <c r="E36" s="545">
        <v>0</v>
      </c>
    </row>
    <row r="37" spans="1:5" outlineLevel="1" x14ac:dyDescent="0.25">
      <c r="A37" s="1311"/>
      <c r="B37" s="1312"/>
      <c r="C37" s="1312"/>
      <c r="D37" s="68" t="s">
        <v>28</v>
      </c>
      <c r="E37" s="545">
        <v>0</v>
      </c>
    </row>
    <row r="38" spans="1:5" outlineLevel="1" x14ac:dyDescent="0.25">
      <c r="A38" s="1311"/>
      <c r="B38" s="1312"/>
      <c r="C38" s="1312"/>
      <c r="D38" s="68" t="s">
        <v>29</v>
      </c>
      <c r="E38" s="545">
        <v>0</v>
      </c>
    </row>
    <row r="39" spans="1:5" outlineLevel="1" x14ac:dyDescent="0.25">
      <c r="A39" s="1311"/>
      <c r="B39" s="1312"/>
      <c r="C39" s="1312"/>
      <c r="D39" s="68" t="s">
        <v>30</v>
      </c>
      <c r="E39" s="545">
        <v>0</v>
      </c>
    </row>
    <row r="40" spans="1:5" outlineLevel="1" x14ac:dyDescent="0.25">
      <c r="A40" s="1311"/>
      <c r="B40" s="1312"/>
      <c r="C40" s="1312"/>
      <c r="D40" s="68" t="s">
        <v>31</v>
      </c>
      <c r="E40" s="545">
        <v>0</v>
      </c>
    </row>
    <row r="41" spans="1:5" outlineLevel="1" x14ac:dyDescent="0.25">
      <c r="A41" s="1311"/>
      <c r="B41" s="1312"/>
      <c r="C41" s="1312"/>
      <c r="D41" s="68" t="s">
        <v>32</v>
      </c>
      <c r="E41" s="545">
        <v>0</v>
      </c>
    </row>
    <row r="42" spans="1:5" outlineLevel="1" x14ac:dyDescent="0.25">
      <c r="A42" s="1311"/>
      <c r="B42" s="1312"/>
      <c r="C42" s="1312"/>
      <c r="D42" s="68" t="s">
        <v>33</v>
      </c>
      <c r="E42" s="545">
        <v>0</v>
      </c>
    </row>
    <row r="43" spans="1:5" ht="15.75" outlineLevel="1" thickBot="1" x14ac:dyDescent="0.3">
      <c r="A43" s="1311"/>
      <c r="B43" s="1312"/>
      <c r="C43" s="1312"/>
      <c r="D43" s="69" t="s">
        <v>34</v>
      </c>
      <c r="E43" s="550">
        <v>0</v>
      </c>
    </row>
    <row r="44" spans="1:5" outlineLevel="1" x14ac:dyDescent="0.25">
      <c r="A44" s="1311" t="s">
        <v>92</v>
      </c>
      <c r="B44" s="1312" t="s">
        <v>78</v>
      </c>
      <c r="C44" s="1311" t="s">
        <v>339</v>
      </c>
      <c r="D44" s="67" t="s">
        <v>25</v>
      </c>
      <c r="E44" s="545">
        <v>0</v>
      </c>
    </row>
    <row r="45" spans="1:5" outlineLevel="1" x14ac:dyDescent="0.25">
      <c r="A45" s="1311"/>
      <c r="B45" s="1312"/>
      <c r="C45" s="1311"/>
      <c r="D45" s="68" t="s">
        <v>26</v>
      </c>
      <c r="E45" s="545">
        <v>0</v>
      </c>
    </row>
    <row r="46" spans="1:5" outlineLevel="1" x14ac:dyDescent="0.25">
      <c r="A46" s="1311"/>
      <c r="B46" s="1312"/>
      <c r="C46" s="1311"/>
      <c r="D46" s="68" t="s">
        <v>27</v>
      </c>
      <c r="E46" s="545">
        <v>0</v>
      </c>
    </row>
    <row r="47" spans="1:5" outlineLevel="1" x14ac:dyDescent="0.25">
      <c r="A47" s="1311"/>
      <c r="B47" s="1312"/>
      <c r="C47" s="1311"/>
      <c r="D47" s="68" t="s">
        <v>28</v>
      </c>
      <c r="E47" s="545">
        <v>0</v>
      </c>
    </row>
    <row r="48" spans="1:5" outlineLevel="1" x14ac:dyDescent="0.25">
      <c r="A48" s="1311"/>
      <c r="B48" s="1312"/>
      <c r="C48" s="1311"/>
      <c r="D48" s="68" t="s">
        <v>29</v>
      </c>
      <c r="E48" s="545">
        <v>0</v>
      </c>
    </row>
    <row r="49" spans="1:5" outlineLevel="1" x14ac:dyDescent="0.25">
      <c r="A49" s="1311"/>
      <c r="B49" s="1312"/>
      <c r="C49" s="1311"/>
      <c r="D49" s="68" t="s">
        <v>30</v>
      </c>
      <c r="E49" s="545">
        <v>0</v>
      </c>
    </row>
    <row r="50" spans="1:5" outlineLevel="1" x14ac:dyDescent="0.25">
      <c r="A50" s="1311"/>
      <c r="B50" s="1312"/>
      <c r="C50" s="1311"/>
      <c r="D50" s="68" t="s">
        <v>31</v>
      </c>
      <c r="E50" s="545">
        <v>0</v>
      </c>
    </row>
    <row r="51" spans="1:5" outlineLevel="1" x14ac:dyDescent="0.25">
      <c r="A51" s="1311"/>
      <c r="B51" s="1312"/>
      <c r="C51" s="1311"/>
      <c r="D51" s="68" t="s">
        <v>32</v>
      </c>
      <c r="E51" s="545">
        <v>0</v>
      </c>
    </row>
    <row r="52" spans="1:5" outlineLevel="1" x14ac:dyDescent="0.25">
      <c r="A52" s="1311"/>
      <c r="B52" s="1312"/>
      <c r="C52" s="1311"/>
      <c r="D52" s="68" t="s">
        <v>33</v>
      </c>
      <c r="E52" s="545">
        <v>0</v>
      </c>
    </row>
    <row r="53" spans="1:5" ht="15.75" outlineLevel="1" thickBot="1" x14ac:dyDescent="0.3">
      <c r="A53" s="1311"/>
      <c r="B53" s="1312"/>
      <c r="C53" s="1311"/>
      <c r="D53" s="69" t="s">
        <v>34</v>
      </c>
      <c r="E53" s="550">
        <v>0</v>
      </c>
    </row>
    <row r="55" spans="1:5" ht="28.35" customHeight="1" x14ac:dyDescent="0.25">
      <c r="A55" s="1310" t="s">
        <v>369</v>
      </c>
      <c r="B55" s="1310"/>
      <c r="C55" s="1310"/>
      <c r="D55" s="1310"/>
      <c r="E55" s="1310"/>
    </row>
  </sheetData>
  <mergeCells count="18">
    <mergeCell ref="A1:D1"/>
    <mergeCell ref="A3:C3"/>
    <mergeCell ref="A4:A13"/>
    <mergeCell ref="B4:B13"/>
    <mergeCell ref="C4:C13"/>
    <mergeCell ref="A14:A23"/>
    <mergeCell ref="B14:B23"/>
    <mergeCell ref="C14:C23"/>
    <mergeCell ref="A24:A33"/>
    <mergeCell ref="B24:B33"/>
    <mergeCell ref="C24:C33"/>
    <mergeCell ref="A55:E55"/>
    <mergeCell ref="A34:A43"/>
    <mergeCell ref="B34:B43"/>
    <mergeCell ref="C34:C43"/>
    <mergeCell ref="A44:A53"/>
    <mergeCell ref="B44:B53"/>
    <mergeCell ref="C44:C53"/>
  </mergeCells>
  <pageMargins left="0.7" right="0.7" top="0.75" bottom="0.75" header="0.3" footer="0.3"/>
  <pageSetup paperSize="9" scale="9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outlinePr summaryBelow="0" summaryRight="0"/>
  </sheetPr>
  <dimension ref="A1:M179"/>
  <sheetViews>
    <sheetView showGridLines="0" zoomScaleNormal="100" workbookViewId="0">
      <pane ySplit="2" topLeftCell="A106" activePane="bottomLeft" state="frozen"/>
      <selection activeCell="C47" sqref="C47"/>
      <selection pane="bottomLeft" activeCell="J113" sqref="J113"/>
    </sheetView>
  </sheetViews>
  <sheetFormatPr defaultColWidth="8.85546875" defaultRowHeight="15" outlineLevelRow="2" outlineLevelCol="1" x14ac:dyDescent="0.25"/>
  <cols>
    <col min="1" max="1" width="6.5703125" style="506" customWidth="1"/>
    <col min="2" max="2" width="22.42578125" customWidth="1"/>
    <col min="3" max="3" width="23.42578125" customWidth="1"/>
    <col min="4" max="4" width="22.42578125" customWidth="1"/>
    <col min="5" max="5" width="13.5703125" customWidth="1"/>
    <col min="6" max="6" width="14.5703125" customWidth="1"/>
    <col min="7" max="7" width="13" customWidth="1" outlineLevel="1"/>
    <col min="8" max="8" width="14.42578125" customWidth="1" outlineLevel="1"/>
    <col min="9" max="9" width="12.42578125" customWidth="1" outlineLevel="1"/>
    <col min="10" max="10" width="10.5703125" customWidth="1" outlineLevel="1"/>
    <col min="11" max="11" width="13.5703125" customWidth="1" outlineLevel="1"/>
    <col min="12" max="12" width="13.5703125" customWidth="1"/>
  </cols>
  <sheetData>
    <row r="1" spans="1:11" ht="65.45" customHeight="1" thickBot="1" x14ac:dyDescent="0.4">
      <c r="B1" s="1313" t="s">
        <v>629</v>
      </c>
      <c r="C1" s="1313"/>
      <c r="D1" s="1313"/>
      <c r="E1" s="1314"/>
      <c r="F1" s="502" t="s">
        <v>35</v>
      </c>
      <c r="G1" s="893" t="s">
        <v>951</v>
      </c>
      <c r="H1" s="503" t="s">
        <v>813</v>
      </c>
      <c r="I1" s="503" t="s">
        <v>323</v>
      </c>
      <c r="J1" s="503" t="s">
        <v>816</v>
      </c>
      <c r="K1" s="503"/>
    </row>
    <row r="2" spans="1:11" ht="15.75" thickBot="1" x14ac:dyDescent="0.3">
      <c r="B2" s="40" t="s">
        <v>0</v>
      </c>
      <c r="C2" s="75" t="s">
        <v>75</v>
      </c>
      <c r="D2" s="75" t="s">
        <v>74</v>
      </c>
      <c r="E2" s="75" t="s">
        <v>23</v>
      </c>
      <c r="F2" s="17"/>
      <c r="G2" s="17"/>
      <c r="H2" s="17"/>
      <c r="I2" s="17"/>
      <c r="J2" s="17"/>
      <c r="K2" s="17"/>
    </row>
    <row r="3" spans="1:11" ht="15.75" thickBot="1" x14ac:dyDescent="0.3">
      <c r="A3" s="506" t="s">
        <v>324</v>
      </c>
      <c r="B3" s="1320" t="s">
        <v>116</v>
      </c>
      <c r="C3" s="1321"/>
      <c r="D3" s="1321"/>
      <c r="E3" s="78"/>
      <c r="F3" s="77">
        <f t="shared" ref="F3:K3" si="0">F4+F25</f>
        <v>3414883.2</v>
      </c>
      <c r="G3" s="519">
        <f t="shared" si="0"/>
        <v>3203323.2</v>
      </c>
      <c r="H3" s="519">
        <f t="shared" si="0"/>
        <v>102060</v>
      </c>
      <c r="I3" s="520">
        <f t="shared" si="0"/>
        <v>98400</v>
      </c>
      <c r="J3" s="520">
        <f t="shared" si="0"/>
        <v>11100</v>
      </c>
      <c r="K3" s="520">
        <f t="shared" si="0"/>
        <v>0</v>
      </c>
    </row>
    <row r="4" spans="1:11" ht="15.75" outlineLevel="1" thickBot="1" x14ac:dyDescent="0.3">
      <c r="A4" s="506" t="s">
        <v>325</v>
      </c>
      <c r="B4" s="17" t="s">
        <v>104</v>
      </c>
      <c r="C4" s="17"/>
      <c r="D4" s="17"/>
      <c r="E4" s="28"/>
      <c r="F4" s="77">
        <f t="shared" ref="F4:K4" si="1">SUM(F5:F24)</f>
        <v>0</v>
      </c>
      <c r="G4" s="519">
        <f t="shared" si="1"/>
        <v>0</v>
      </c>
      <c r="H4" s="519">
        <f t="shared" si="1"/>
        <v>0</v>
      </c>
      <c r="I4" s="520">
        <f t="shared" si="1"/>
        <v>0</v>
      </c>
      <c r="J4" s="520">
        <f t="shared" si="1"/>
        <v>0</v>
      </c>
      <c r="K4" s="521">
        <f t="shared" si="1"/>
        <v>0</v>
      </c>
    </row>
    <row r="5" spans="1:11" outlineLevel="2" x14ac:dyDescent="0.25">
      <c r="A5" s="1318" t="s">
        <v>343</v>
      </c>
      <c r="B5" s="1311" t="s">
        <v>72</v>
      </c>
      <c r="C5" s="1312" t="s">
        <v>73</v>
      </c>
      <c r="D5" s="1312" t="s">
        <v>337</v>
      </c>
      <c r="E5" s="67" t="s">
        <v>25</v>
      </c>
      <c r="F5" s="64">
        <f t="shared" ref="F5:F24" si="2">SUM(G5:K5)</f>
        <v>0</v>
      </c>
      <c r="G5" s="523">
        <v>0</v>
      </c>
      <c r="H5" s="524">
        <v>0</v>
      </c>
      <c r="I5" s="525">
        <v>0</v>
      </c>
      <c r="J5" s="525">
        <v>0</v>
      </c>
      <c r="K5" s="526">
        <v>0</v>
      </c>
    </row>
    <row r="6" spans="1:11" outlineLevel="2" x14ac:dyDescent="0.25">
      <c r="A6" s="1318"/>
      <c r="B6" s="1311"/>
      <c r="C6" s="1312"/>
      <c r="D6" s="1312"/>
      <c r="E6" s="68" t="s">
        <v>26</v>
      </c>
      <c r="F6" s="65">
        <f t="shared" si="2"/>
        <v>0</v>
      </c>
      <c r="G6" s="528">
        <v>0</v>
      </c>
      <c r="H6" s="529">
        <v>0</v>
      </c>
      <c r="I6" s="530">
        <v>0</v>
      </c>
      <c r="J6" s="530">
        <v>0</v>
      </c>
      <c r="K6" s="531">
        <v>0</v>
      </c>
    </row>
    <row r="7" spans="1:11" outlineLevel="2" x14ac:dyDescent="0.25">
      <c r="A7" s="1318"/>
      <c r="B7" s="1311"/>
      <c r="C7" s="1312"/>
      <c r="D7" s="1312"/>
      <c r="E7" s="68" t="s">
        <v>27</v>
      </c>
      <c r="F7" s="65">
        <f t="shared" si="2"/>
        <v>0</v>
      </c>
      <c r="G7" s="528">
        <v>0</v>
      </c>
      <c r="H7" s="529">
        <v>0</v>
      </c>
      <c r="I7" s="530">
        <v>0</v>
      </c>
      <c r="J7" s="530">
        <v>0</v>
      </c>
      <c r="K7" s="531">
        <v>0</v>
      </c>
    </row>
    <row r="8" spans="1:11" outlineLevel="2" x14ac:dyDescent="0.25">
      <c r="A8" s="1318"/>
      <c r="B8" s="1311"/>
      <c r="C8" s="1312"/>
      <c r="D8" s="1312"/>
      <c r="E8" s="68" t="s">
        <v>28</v>
      </c>
      <c r="F8" s="65">
        <f t="shared" si="2"/>
        <v>0</v>
      </c>
      <c r="G8" s="528">
        <v>0</v>
      </c>
      <c r="H8" s="529">
        <v>0</v>
      </c>
      <c r="I8" s="530">
        <v>0</v>
      </c>
      <c r="J8" s="530">
        <v>0</v>
      </c>
      <c r="K8" s="531">
        <v>0</v>
      </c>
    </row>
    <row r="9" spans="1:11" outlineLevel="2" x14ac:dyDescent="0.25">
      <c r="A9" s="1318"/>
      <c r="B9" s="1311"/>
      <c r="C9" s="1312"/>
      <c r="D9" s="1312"/>
      <c r="E9" s="68" t="s">
        <v>29</v>
      </c>
      <c r="F9" s="65">
        <f t="shared" si="2"/>
        <v>0</v>
      </c>
      <c r="G9" s="528">
        <v>0</v>
      </c>
      <c r="H9" s="529">
        <v>0</v>
      </c>
      <c r="I9" s="530">
        <v>0</v>
      </c>
      <c r="J9" s="530">
        <v>0</v>
      </c>
      <c r="K9" s="531">
        <v>0</v>
      </c>
    </row>
    <row r="10" spans="1:11" outlineLevel="2" x14ac:dyDescent="0.25">
      <c r="A10" s="1318"/>
      <c r="B10" s="1311"/>
      <c r="C10" s="1312"/>
      <c r="D10" s="1312"/>
      <c r="E10" s="68" t="s">
        <v>30</v>
      </c>
      <c r="F10" s="65">
        <f t="shared" si="2"/>
        <v>0</v>
      </c>
      <c r="G10" s="528">
        <v>0</v>
      </c>
      <c r="H10" s="529">
        <v>0</v>
      </c>
      <c r="I10" s="530">
        <v>0</v>
      </c>
      <c r="J10" s="530">
        <v>0</v>
      </c>
      <c r="K10" s="531">
        <v>0</v>
      </c>
    </row>
    <row r="11" spans="1:11" outlineLevel="2" x14ac:dyDescent="0.25">
      <c r="A11" s="1318"/>
      <c r="B11" s="1311"/>
      <c r="C11" s="1312"/>
      <c r="D11" s="1312"/>
      <c r="E11" s="68" t="s">
        <v>31</v>
      </c>
      <c r="F11" s="65">
        <f t="shared" si="2"/>
        <v>0</v>
      </c>
      <c r="G11" s="528">
        <v>0</v>
      </c>
      <c r="H11" s="529">
        <v>0</v>
      </c>
      <c r="I11" s="530">
        <v>0</v>
      </c>
      <c r="J11" s="530">
        <v>0</v>
      </c>
      <c r="K11" s="531">
        <v>0</v>
      </c>
    </row>
    <row r="12" spans="1:11" outlineLevel="2" x14ac:dyDescent="0.25">
      <c r="A12" s="1318"/>
      <c r="B12" s="1311"/>
      <c r="C12" s="1312"/>
      <c r="D12" s="1312"/>
      <c r="E12" s="68" t="s">
        <v>32</v>
      </c>
      <c r="F12" s="65">
        <f t="shared" si="2"/>
        <v>0</v>
      </c>
      <c r="G12" s="528">
        <v>0</v>
      </c>
      <c r="H12" s="529">
        <v>0</v>
      </c>
      <c r="I12" s="530">
        <v>0</v>
      </c>
      <c r="J12" s="530">
        <v>0</v>
      </c>
      <c r="K12" s="531">
        <v>0</v>
      </c>
    </row>
    <row r="13" spans="1:11" outlineLevel="2" x14ac:dyDescent="0.25">
      <c r="A13" s="1318"/>
      <c r="B13" s="1311"/>
      <c r="C13" s="1312"/>
      <c r="D13" s="1312"/>
      <c r="E13" s="68" t="s">
        <v>33</v>
      </c>
      <c r="F13" s="65">
        <f t="shared" si="2"/>
        <v>0</v>
      </c>
      <c r="G13" s="528">
        <v>0</v>
      </c>
      <c r="H13" s="529">
        <v>0</v>
      </c>
      <c r="I13" s="530">
        <v>0</v>
      </c>
      <c r="J13" s="530">
        <v>0</v>
      </c>
      <c r="K13" s="531">
        <v>0</v>
      </c>
    </row>
    <row r="14" spans="1:11" ht="15.75" outlineLevel="2" thickBot="1" x14ac:dyDescent="0.3">
      <c r="A14" s="1318"/>
      <c r="B14" s="1311"/>
      <c r="C14" s="1312"/>
      <c r="D14" s="1312"/>
      <c r="E14" s="69" t="s">
        <v>34</v>
      </c>
      <c r="F14" s="65">
        <f t="shared" si="2"/>
        <v>0</v>
      </c>
      <c r="G14" s="532">
        <v>0</v>
      </c>
      <c r="H14" s="533">
        <v>0</v>
      </c>
      <c r="I14" s="534">
        <v>0</v>
      </c>
      <c r="J14" s="534">
        <v>0</v>
      </c>
      <c r="K14" s="535">
        <v>0</v>
      </c>
    </row>
    <row r="15" spans="1:11" outlineLevel="2" x14ac:dyDescent="0.25">
      <c r="A15" s="1318" t="s">
        <v>344</v>
      </c>
      <c r="B15" s="1311" t="s">
        <v>72</v>
      </c>
      <c r="C15" s="1312" t="s">
        <v>78</v>
      </c>
      <c r="D15" s="1312" t="s">
        <v>338</v>
      </c>
      <c r="E15" s="67" t="s">
        <v>25</v>
      </c>
      <c r="F15" s="64">
        <f t="shared" si="2"/>
        <v>0</v>
      </c>
      <c r="G15" s="523">
        <v>0</v>
      </c>
      <c r="H15" s="524">
        <v>0</v>
      </c>
      <c r="I15" s="525">
        <v>0</v>
      </c>
      <c r="J15" s="525">
        <v>0</v>
      </c>
      <c r="K15" s="526">
        <v>0</v>
      </c>
    </row>
    <row r="16" spans="1:11" outlineLevel="2" x14ac:dyDescent="0.25">
      <c r="A16" s="1318"/>
      <c r="B16" s="1311"/>
      <c r="C16" s="1312"/>
      <c r="D16" s="1312"/>
      <c r="E16" s="68" t="s">
        <v>26</v>
      </c>
      <c r="F16" s="65">
        <f t="shared" si="2"/>
        <v>0</v>
      </c>
      <c r="G16" s="528">
        <v>0</v>
      </c>
      <c r="H16" s="529">
        <v>0</v>
      </c>
      <c r="I16" s="530">
        <v>0</v>
      </c>
      <c r="J16" s="530">
        <v>0</v>
      </c>
      <c r="K16" s="531">
        <v>0</v>
      </c>
    </row>
    <row r="17" spans="1:13" outlineLevel="2" x14ac:dyDescent="0.25">
      <c r="A17" s="1318"/>
      <c r="B17" s="1311"/>
      <c r="C17" s="1312"/>
      <c r="D17" s="1312"/>
      <c r="E17" s="68" t="s">
        <v>27</v>
      </c>
      <c r="F17" s="65">
        <f t="shared" si="2"/>
        <v>0</v>
      </c>
      <c r="G17" s="528">
        <v>0</v>
      </c>
      <c r="H17" s="529">
        <v>0</v>
      </c>
      <c r="I17" s="530">
        <v>0</v>
      </c>
      <c r="J17" s="530">
        <v>0</v>
      </c>
      <c r="K17" s="531">
        <v>0</v>
      </c>
    </row>
    <row r="18" spans="1:13" outlineLevel="2" x14ac:dyDescent="0.25">
      <c r="A18" s="1318"/>
      <c r="B18" s="1311"/>
      <c r="C18" s="1312"/>
      <c r="D18" s="1312"/>
      <c r="E18" s="68" t="s">
        <v>28</v>
      </c>
      <c r="F18" s="65">
        <f t="shared" si="2"/>
        <v>0</v>
      </c>
      <c r="G18" s="528">
        <v>0</v>
      </c>
      <c r="H18" s="529">
        <v>0</v>
      </c>
      <c r="I18" s="530">
        <v>0</v>
      </c>
      <c r="J18" s="530">
        <v>0</v>
      </c>
      <c r="K18" s="531">
        <v>0</v>
      </c>
    </row>
    <row r="19" spans="1:13" outlineLevel="2" x14ac:dyDescent="0.25">
      <c r="A19" s="1318"/>
      <c r="B19" s="1311"/>
      <c r="C19" s="1312"/>
      <c r="D19" s="1312"/>
      <c r="E19" s="68" t="s">
        <v>29</v>
      </c>
      <c r="F19" s="65">
        <f t="shared" si="2"/>
        <v>0</v>
      </c>
      <c r="G19" s="528">
        <v>0</v>
      </c>
      <c r="H19" s="529">
        <v>0</v>
      </c>
      <c r="I19" s="530">
        <v>0</v>
      </c>
      <c r="J19" s="530">
        <v>0</v>
      </c>
      <c r="K19" s="531">
        <v>0</v>
      </c>
    </row>
    <row r="20" spans="1:13" outlineLevel="2" x14ac:dyDescent="0.25">
      <c r="A20" s="1318"/>
      <c r="B20" s="1311"/>
      <c r="C20" s="1312"/>
      <c r="D20" s="1312"/>
      <c r="E20" s="68" t="s">
        <v>30</v>
      </c>
      <c r="F20" s="65">
        <f t="shared" si="2"/>
        <v>0</v>
      </c>
      <c r="G20" s="528">
        <v>0</v>
      </c>
      <c r="H20" s="529">
        <v>0</v>
      </c>
      <c r="I20" s="530">
        <v>0</v>
      </c>
      <c r="J20" s="530">
        <v>0</v>
      </c>
      <c r="K20" s="531">
        <v>0</v>
      </c>
    </row>
    <row r="21" spans="1:13" outlineLevel="2" x14ac:dyDescent="0.25">
      <c r="A21" s="1318"/>
      <c r="B21" s="1311"/>
      <c r="C21" s="1312"/>
      <c r="D21" s="1312"/>
      <c r="E21" s="68" t="s">
        <v>31</v>
      </c>
      <c r="F21" s="65">
        <f t="shared" si="2"/>
        <v>0</v>
      </c>
      <c r="G21" s="528">
        <v>0</v>
      </c>
      <c r="H21" s="529">
        <v>0</v>
      </c>
      <c r="I21" s="530">
        <v>0</v>
      </c>
      <c r="J21" s="530">
        <v>0</v>
      </c>
      <c r="K21" s="531">
        <v>0</v>
      </c>
    </row>
    <row r="22" spans="1:13" outlineLevel="2" x14ac:dyDescent="0.25">
      <c r="A22" s="1318"/>
      <c r="B22" s="1311"/>
      <c r="C22" s="1312"/>
      <c r="D22" s="1312"/>
      <c r="E22" s="68" t="s">
        <v>32</v>
      </c>
      <c r="F22" s="65">
        <f t="shared" si="2"/>
        <v>0</v>
      </c>
      <c r="G22" s="528">
        <v>0</v>
      </c>
      <c r="H22" s="529">
        <v>0</v>
      </c>
      <c r="I22" s="530">
        <v>0</v>
      </c>
      <c r="J22" s="530">
        <v>0</v>
      </c>
      <c r="K22" s="531">
        <v>0</v>
      </c>
    </row>
    <row r="23" spans="1:13" outlineLevel="2" x14ac:dyDescent="0.25">
      <c r="A23" s="1318"/>
      <c r="B23" s="1311"/>
      <c r="C23" s="1312"/>
      <c r="D23" s="1312"/>
      <c r="E23" s="68" t="s">
        <v>33</v>
      </c>
      <c r="F23" s="65">
        <f t="shared" si="2"/>
        <v>0</v>
      </c>
      <c r="G23" s="528">
        <v>0</v>
      </c>
      <c r="H23" s="529">
        <v>0</v>
      </c>
      <c r="I23" s="530">
        <v>0</v>
      </c>
      <c r="J23" s="530">
        <v>0</v>
      </c>
      <c r="K23" s="531">
        <v>0</v>
      </c>
    </row>
    <row r="24" spans="1:13" ht="15.75" outlineLevel="2" thickBot="1" x14ac:dyDescent="0.3">
      <c r="A24" s="1318"/>
      <c r="B24" s="1311"/>
      <c r="C24" s="1312"/>
      <c r="D24" s="1312"/>
      <c r="E24" s="69" t="s">
        <v>34</v>
      </c>
      <c r="F24" s="66">
        <f t="shared" si="2"/>
        <v>0</v>
      </c>
      <c r="G24" s="532">
        <v>0</v>
      </c>
      <c r="H24" s="533">
        <v>0</v>
      </c>
      <c r="I24" s="534">
        <v>0</v>
      </c>
      <c r="J24" s="534">
        <v>0</v>
      </c>
      <c r="K24" s="535">
        <v>0</v>
      </c>
    </row>
    <row r="25" spans="1:13" ht="15.75" outlineLevel="1" thickBot="1" x14ac:dyDescent="0.3">
      <c r="A25" s="506" t="s">
        <v>326</v>
      </c>
      <c r="B25" s="17" t="s">
        <v>105</v>
      </c>
      <c r="C25" s="17"/>
      <c r="D25" s="17"/>
      <c r="E25" s="28"/>
      <c r="F25" s="115">
        <f>SUM(F26:F55)</f>
        <v>3414883.2</v>
      </c>
      <c r="G25" s="537">
        <f t="shared" ref="G25:K25" si="3">SUM(G26:G55)</f>
        <v>3203323.2</v>
      </c>
      <c r="H25" s="537">
        <f t="shared" si="3"/>
        <v>102060</v>
      </c>
      <c r="I25" s="538">
        <f t="shared" si="3"/>
        <v>98400</v>
      </c>
      <c r="J25" s="538">
        <f t="shared" si="3"/>
        <v>11100</v>
      </c>
      <c r="K25" s="539">
        <f t="shared" si="3"/>
        <v>0</v>
      </c>
    </row>
    <row r="26" spans="1:13" outlineLevel="2" x14ac:dyDescent="0.25">
      <c r="A26" s="1318" t="s">
        <v>345</v>
      </c>
      <c r="B26" s="1311" t="s">
        <v>76</v>
      </c>
      <c r="C26" s="1312" t="s">
        <v>73</v>
      </c>
      <c r="D26" s="1312" t="s">
        <v>337</v>
      </c>
      <c r="E26" s="67" t="s">
        <v>25</v>
      </c>
      <c r="F26" s="71">
        <f t="shared" ref="F26:F55" si="4">SUM(G26:K26)</f>
        <v>1327074.1000000001</v>
      </c>
      <c r="G26" s="541">
        <f>GETPIVOTDATA("Sum of Výdavok Rok 1 ",'Prevodník rozpočet na TCO'!$A$3,"Skupina aktivít","Hlavná","Názov aktivity2","Analýza a dizajn","Skupina  výdavkov","013 - Softvér","Modul mapovanie TCO","Interný agendový informačný systém KSED")+GETPIVOTDATA("Sum of Výdavok Rok 1 ",'Prevodník rozpočet na TCO'!$A$3,"Skupina aktivít","Hlavná","Názov aktivity2","Analýza a dizajn","Skupina  výdavkov","521 - Mzdové výdavky","Modul mapovanie TCO","Interný agendový informačný systém KSED")</f>
        <v>1288194.1000000001</v>
      </c>
      <c r="H26" s="543">
        <f>GETPIVOTDATA("Sum of Výdavok Rok 1 ",'Prevodník rozpočet na TCO'!$A$3,"Skupina aktivít","Hlavná","Názov aktivity2","Analýza a dizajn","Skupina  výdavkov","013 - Softvér","Modul mapovanie TCO","Mobilný Agendový informačný systém KSED")</f>
        <v>10560</v>
      </c>
      <c r="I26" s="543">
        <f>GETPIVOTDATA("Sum of Výdavok Rok 1 ",'Prevodník rozpočet na TCO'!$A$3,"Skupina aktivít","Hlavná","Názov aktivity2","Analýza a dizajn","Skupina  výdavkov","013 - Softvér","Modul mapovanie TCO","Verejný portál KSED")</f>
        <v>24360</v>
      </c>
      <c r="J26" s="543">
        <f>GETPIVOTDATA("Sum of Výdavok Rok 1 ",'Prevodník rozpočet na TCO'!$A$3,"Skupina aktivít","Hlavná","Názov aktivity2","Analýza a dizajn","Skupina  výdavkov","013 - Softvér","Modul mapovanie TCO","Mobilná aplikácia Podnety")</f>
        <v>3960</v>
      </c>
      <c r="K26" s="544">
        <v>0</v>
      </c>
      <c r="M26" t="s">
        <v>996</v>
      </c>
    </row>
    <row r="27" spans="1:13" outlineLevel="2" x14ac:dyDescent="0.25">
      <c r="A27" s="1318"/>
      <c r="B27" s="1311"/>
      <c r="C27" s="1312"/>
      <c r="D27" s="1312"/>
      <c r="E27" s="68" t="s">
        <v>26</v>
      </c>
      <c r="F27" s="72">
        <f t="shared" si="4"/>
        <v>2030154.18</v>
      </c>
      <c r="G27" s="546">
        <f>GETPIVOTDATA("Sum of Výdavok Rok 2",'Prevodník rozpočet na TCO'!$A$3,"Skupina aktivít","Hlavná","Názov aktivity2","Implementácia","Skupina  výdavkov","013 - Softvér","Modul mapovanie TCO","Interný agendový informačný systém KSED")+GETPIVOTDATA("Sum of Výdavok Rok 2",'Prevodník rozpočet na TCO'!$A$3,"Skupina aktivít","Hlavná","Názov aktivity2","Nasadenie","Skupina  výdavkov","013 - Softvér","Modul mapovanie TCO","Interný agendový informačný systém KSED")+GETPIVOTDATA("Sum of Výdavok Rok 2",'Prevodník rozpočet na TCO'!$A$3,"Skupina aktivít","Hlavná","Názov aktivity2","Testovanie","Skupina  výdavkov","013 - Softvér","Modul mapovanie TCO","Interný agendový informačný systém KSED")+GETPIVOTDATA("Sum of Výdavok Rok 2",'Prevodník rozpočet na TCO'!$A$3,"Skupina aktivít","Hlavná","Názov aktivity2","Implementácia","Skupina  výdavkov","521 - Mzdové výdavky","Modul mapovanie TCO","Interný agendový informačný systém KSED")+GETPIVOTDATA("Sum of Výdavok Rok 2",'Prevodník rozpočet na TCO'!$A$3,"Skupina aktivít","Hlavná","Názov aktivity2","Nasadenie","Skupina  výdavkov","521 - Mzdové výdavky","Modul mapovanie TCO","Interný agendový informačný systém KSED")+GETPIVOTDATA("Sum of Výdavok Rok 2",'Prevodník rozpočet na TCO'!$A$3,"Skupina aktivít","Hlavná","Názov aktivity2","Testovanie","Skupina  výdavkov","521 - Mzdové výdavky","Modul mapovanie TCO","Interný agendový informačný systém KSED")</f>
        <v>1862334.18</v>
      </c>
      <c r="H27" s="547">
        <f>GETPIVOTDATA("Sum of Výdavok Rok 2",'Prevodník rozpočet na TCO'!$A$3,"Skupina aktivít","Hlavná","Názov aktivity2","Implementácia","Skupina  výdavkov","013 - Softvér","Modul mapovanie TCO","Mobilný Agendový informačný systém KSED")+GETPIVOTDATA("Sum of Výdavok Rok 2",'Prevodník rozpočet na TCO'!$A$3,"Skupina aktivít","Hlavná","Názov aktivity2","Nasadenie","Skupina  výdavkov","013 - Softvér","Modul mapovanie TCO","Mobilný Agendový informačný systém KSED")+GETPIVOTDATA("Sum of Výdavok Rok 2",'Prevodník rozpočet na TCO'!$A$3,"Skupina aktivít","Hlavná","Názov aktivity2","Testovanie","Skupina  výdavkov","013 - Softvér","Modul mapovanie TCO","Mobilný Agendový informačný systém KSED")</f>
        <v>88800</v>
      </c>
      <c r="I27" s="548">
        <f>GETPIVOTDATA("Sum of Výdavok Rok 2",'Prevodník rozpočet na TCO'!$A$3,"Skupina aktivít","Hlavná","Názov aktivity2","Implementácia","Skupina  výdavkov","013 - Softvér","Modul mapovanie TCO","Verejný portál KSED")+GETPIVOTDATA("Sum of Výdavok Rok 2",'Prevodník rozpočet na TCO'!$A$3,"Skupina aktivít","Hlavná","Názov aktivity2","Nasadenie","Skupina  výdavkov","013 - Softvér","Modul mapovanie TCO","Verejný portál KSED")+GETPIVOTDATA("Sum of Výdavok Rok 2",'Prevodník rozpočet na TCO'!$A$3,"Skupina aktivít","Hlavná","Názov aktivity2","Testovanie","Skupina  výdavkov","013 - Softvér","Modul mapovanie TCO","Verejný portál KSED")</f>
        <v>72960</v>
      </c>
      <c r="J27" s="548">
        <f>GETPIVOTDATA("Sum of Výdavok Rok 2",'Prevodník rozpočet na TCO'!$A$3,"Skupina aktivít","Hlavná","Názov aktivity2","Implementácia","Skupina  výdavkov","013 - Softvér","Modul mapovanie TCO","Mobilná aplikácia Podnety")+GETPIVOTDATA("Sum of Výdavok Rok 2",'Prevodník rozpočet na TCO'!$A$3,"Skupina aktivít","Hlavná","Názov aktivity2","Nasadenie","Skupina  výdavkov","013 - Softvér","Modul mapovanie TCO","Mobilná aplikácia Podnety")+GETPIVOTDATA("Sum of Výdavok Rok 2",'Prevodník rozpočet na TCO'!$A$3,"Skupina aktivít","Hlavná","Názov aktivity2","Testovanie","Skupina  výdavkov","013 - Softvér","Modul mapovanie TCO","Mobilná aplikácia Podnety")</f>
        <v>6060</v>
      </c>
      <c r="K27" s="549">
        <v>0</v>
      </c>
    </row>
    <row r="28" spans="1:13" outlineLevel="2" x14ac:dyDescent="0.25">
      <c r="A28" s="1318"/>
      <c r="B28" s="1311"/>
      <c r="C28" s="1312"/>
      <c r="D28" s="1312"/>
      <c r="E28" s="68" t="s">
        <v>27</v>
      </c>
      <c r="F28" s="72">
        <f t="shared" si="4"/>
        <v>57654.92</v>
      </c>
      <c r="G28" s="546">
        <f>GETPIVOTDATA("Sum of Výdavok Rok 3",'Prevodník rozpočet na TCO'!$A$3,"Skupina aktivít","Hlavná","Názov aktivity2","Implementácia","Skupina  výdavkov","013 - Softvér","Modul mapovanie TCO","Interný agendový informačný systém KSED")+GETPIVOTDATA("Sum of Výdavok Rok 3",'Prevodník rozpočet na TCO'!$A$3,"Skupina aktivít","Hlavná","Názov aktivity2","Nasadenie","Skupina  výdavkov","013 - Softvér","Modul mapovanie TCO","Interný agendový informačný systém KSED")+GETPIVOTDATA("Sum of Výdavok Rok 3",'Prevodník rozpočet na TCO'!$A$3,"Skupina aktivít","Hlavná","Názov aktivity2","Testovanie","Skupina  výdavkov","013 - Softvér","Modul mapovanie TCO","Interný agendový informačný systém KSED")+GETPIVOTDATA("Sum of Výdavok Rok 3",'Prevodník rozpočet na TCO'!$A$3,"Skupina aktivít","Hlavná","Názov aktivity2","Implementácia","Skupina  výdavkov","521 - Mzdové výdavky","Modul mapovanie TCO","Interný agendový informačný systém KSED")+GETPIVOTDATA("Sum of Výdavok Rok 3",'Prevodník rozpočet na TCO'!$A$3,"Skupina aktivít","Hlavná","Názov aktivity2","Nasadenie","Skupina  výdavkov","521 - Mzdové výdavky","Modul mapovanie TCO","Interný agendový informačný systém KSED")+GETPIVOTDATA("Sum of Výdavok Rok 3",'Prevodník rozpočet na TCO'!$A$3,"Skupina aktivít","Hlavná","Názov aktivity2","Testovanie","Skupina  výdavkov","521 - Mzdové výdavky","Modul mapovanie TCO","Interný agendový informačný systém KSED")</f>
        <v>52794.92</v>
      </c>
      <c r="H28" s="547">
        <f>GETPIVOTDATA("Sum of Výdavok Rok 3",'Prevodník rozpočet na TCO'!$A$3,"Skupina aktivít","Hlavná","Názov aktivity2","Implementácia","Skupina  výdavkov","013 - Softvér","Modul mapovanie TCO","Mobilný Agendový informačný systém KSED")+GETPIVOTDATA("Sum of Výdavok Rok 3",'Prevodník rozpočet na TCO'!$A$3,"Skupina aktivít","Hlavná","Názov aktivity2","Nasadenie","Skupina  výdavkov","013 - Softvér","Modul mapovanie TCO","Mobilný Agendový informačný systém KSED")+GETPIVOTDATA("Sum of Výdavok Rok 3",'Prevodník rozpočet na TCO'!$A$3,"Skupina aktivít","Hlavná","Názov aktivity2","Testovanie","Skupina  výdavkov","013 - Softvér","Modul mapovanie TCO","Mobilný Agendový informačný systém KSED")</f>
        <v>2700</v>
      </c>
      <c r="I28" s="548">
        <f>GETPIVOTDATA("Sum of Výdavok Rok 3",'Prevodník rozpočet na TCO'!$A$3,"Skupina aktivít","Hlavná","Názov aktivity2","Implementácia","Skupina  výdavkov","013 - Softvér","Modul mapovanie TCO","Verejný portál KSED")+GETPIVOTDATA("Sum of Výdavok Rok 3",'Prevodník rozpočet na TCO'!$A$3,"Skupina aktivít","Hlavná","Názov aktivity2","Nasadenie","Skupina  výdavkov","013 - Softvér","Modul mapovanie TCO","Verejný portál KSED")+GETPIVOTDATA("Sum of Výdavok Rok 3",'Prevodník rozpočet na TCO'!$A$3,"Skupina aktivít","Hlavná","Názov aktivity2","Testovanie","Skupina  výdavkov","013 - Softvér","Modul mapovanie TCO","Verejný portál KSED")</f>
        <v>1080</v>
      </c>
      <c r="J28" s="548">
        <f>GETPIVOTDATA("Sum of Výdavok Rok 3",'Prevodník rozpočet na TCO'!$A$3,"Skupina aktivít","Hlavná","Názov aktivity2","Implementácia","Skupina  výdavkov","013 - Softvér","Modul mapovanie TCO","Mobilná aplikácia Podnety")+GETPIVOTDATA("Sum of Výdavok Rok 3",'Prevodník rozpočet na TCO'!$A$3,"Skupina aktivít","Hlavná","Názov aktivity2","Nasadenie","Skupina  výdavkov","013 - Softvér","Modul mapovanie TCO","Mobilná aplikácia Podnety")+GETPIVOTDATA("Sum of Výdavok Rok 3",'Prevodník rozpočet na TCO'!$A$3,"Skupina aktivít","Hlavná","Názov aktivity2","Testovanie","Skupina  výdavkov","013 - Softvér","Modul mapovanie TCO","Mobilná aplikácia Podnety")</f>
        <v>1080</v>
      </c>
      <c r="K28" s="549">
        <v>0</v>
      </c>
    </row>
    <row r="29" spans="1:13" outlineLevel="2" x14ac:dyDescent="0.25">
      <c r="A29" s="1318"/>
      <c r="B29" s="1311"/>
      <c r="C29" s="1312"/>
      <c r="D29" s="1312"/>
      <c r="E29" s="68" t="s">
        <v>28</v>
      </c>
      <c r="F29" s="72">
        <f t="shared" si="4"/>
        <v>0</v>
      </c>
      <c r="G29" s="546">
        <v>0</v>
      </c>
      <c r="H29" s="547">
        <v>0</v>
      </c>
      <c r="I29" s="548">
        <v>0</v>
      </c>
      <c r="J29" s="548">
        <v>0</v>
      </c>
      <c r="K29" s="549">
        <v>0</v>
      </c>
    </row>
    <row r="30" spans="1:13" outlineLevel="2" x14ac:dyDescent="0.25">
      <c r="A30" s="1318"/>
      <c r="B30" s="1311"/>
      <c r="C30" s="1312"/>
      <c r="D30" s="1312"/>
      <c r="E30" s="68" t="s">
        <v>29</v>
      </c>
      <c r="F30" s="72">
        <f t="shared" si="4"/>
        <v>0</v>
      </c>
      <c r="G30" s="546">
        <v>0</v>
      </c>
      <c r="H30" s="547">
        <v>0</v>
      </c>
      <c r="I30" s="548">
        <v>0</v>
      </c>
      <c r="J30" s="548">
        <v>0</v>
      </c>
      <c r="K30" s="549">
        <v>0</v>
      </c>
    </row>
    <row r="31" spans="1:13" outlineLevel="2" x14ac:dyDescent="0.25">
      <c r="A31" s="1318"/>
      <c r="B31" s="1311"/>
      <c r="C31" s="1312"/>
      <c r="D31" s="1312"/>
      <c r="E31" s="68" t="s">
        <v>30</v>
      </c>
      <c r="F31" s="72">
        <f t="shared" si="4"/>
        <v>0</v>
      </c>
      <c r="G31" s="546">
        <v>0</v>
      </c>
      <c r="H31" s="547">
        <v>0</v>
      </c>
      <c r="I31" s="548">
        <v>0</v>
      </c>
      <c r="J31" s="548">
        <v>0</v>
      </c>
      <c r="K31" s="549">
        <v>0</v>
      </c>
    </row>
    <row r="32" spans="1:13" outlineLevel="2" x14ac:dyDescent="0.25">
      <c r="A32" s="1318"/>
      <c r="B32" s="1311"/>
      <c r="C32" s="1312"/>
      <c r="D32" s="1312"/>
      <c r="E32" s="68" t="s">
        <v>31</v>
      </c>
      <c r="F32" s="72">
        <f t="shared" si="4"/>
        <v>0</v>
      </c>
      <c r="G32" s="546">
        <v>0</v>
      </c>
      <c r="H32" s="547">
        <v>0</v>
      </c>
      <c r="I32" s="548">
        <v>0</v>
      </c>
      <c r="J32" s="548">
        <v>0</v>
      </c>
      <c r="K32" s="549">
        <v>0</v>
      </c>
    </row>
    <row r="33" spans="1:11" outlineLevel="2" x14ac:dyDescent="0.25">
      <c r="A33" s="1318"/>
      <c r="B33" s="1311"/>
      <c r="C33" s="1312"/>
      <c r="D33" s="1312"/>
      <c r="E33" s="68" t="s">
        <v>32</v>
      </c>
      <c r="F33" s="72">
        <f t="shared" si="4"/>
        <v>0</v>
      </c>
      <c r="G33" s="546">
        <v>0</v>
      </c>
      <c r="H33" s="547">
        <v>0</v>
      </c>
      <c r="I33" s="548">
        <v>0</v>
      </c>
      <c r="J33" s="548">
        <v>0</v>
      </c>
      <c r="K33" s="549">
        <v>0</v>
      </c>
    </row>
    <row r="34" spans="1:11" outlineLevel="2" x14ac:dyDescent="0.25">
      <c r="A34" s="1318"/>
      <c r="B34" s="1311"/>
      <c r="C34" s="1312"/>
      <c r="D34" s="1312"/>
      <c r="E34" s="68" t="s">
        <v>33</v>
      </c>
      <c r="F34" s="72">
        <f t="shared" si="4"/>
        <v>0</v>
      </c>
      <c r="G34" s="546">
        <v>0</v>
      </c>
      <c r="H34" s="547">
        <v>0</v>
      </c>
      <c r="I34" s="548">
        <v>0</v>
      </c>
      <c r="J34" s="548">
        <v>0</v>
      </c>
      <c r="K34" s="549">
        <v>0</v>
      </c>
    </row>
    <row r="35" spans="1:11" ht="15.75" outlineLevel="2" thickBot="1" x14ac:dyDescent="0.3">
      <c r="A35" s="1318"/>
      <c r="B35" s="1311"/>
      <c r="C35" s="1312"/>
      <c r="D35" s="1312"/>
      <c r="E35" s="69" t="s">
        <v>34</v>
      </c>
      <c r="F35" s="73">
        <f t="shared" si="4"/>
        <v>0</v>
      </c>
      <c r="G35" s="551">
        <v>0</v>
      </c>
      <c r="H35" s="552">
        <v>0</v>
      </c>
      <c r="I35" s="553">
        <v>0</v>
      </c>
      <c r="J35" s="553">
        <v>0</v>
      </c>
      <c r="K35" s="554">
        <v>0</v>
      </c>
    </row>
    <row r="36" spans="1:11" outlineLevel="2" x14ac:dyDescent="0.25">
      <c r="A36" s="1318" t="s">
        <v>346</v>
      </c>
      <c r="B36" s="1311" t="s">
        <v>76</v>
      </c>
      <c r="C36" s="1312" t="s">
        <v>78</v>
      </c>
      <c r="D36" s="1312" t="s">
        <v>338</v>
      </c>
      <c r="E36" s="67" t="s">
        <v>25</v>
      </c>
      <c r="F36" s="72">
        <f t="shared" si="4"/>
        <v>0</v>
      </c>
      <c r="G36" s="541">
        <v>0</v>
      </c>
      <c r="H36" s="542">
        <v>0</v>
      </c>
      <c r="I36" s="543">
        <v>0</v>
      </c>
      <c r="J36" s="543">
        <v>0</v>
      </c>
      <c r="K36" s="544">
        <v>0</v>
      </c>
    </row>
    <row r="37" spans="1:11" outlineLevel="2" x14ac:dyDescent="0.25">
      <c r="A37" s="1318"/>
      <c r="B37" s="1311"/>
      <c r="C37" s="1312"/>
      <c r="D37" s="1312"/>
      <c r="E37" s="68" t="s">
        <v>26</v>
      </c>
      <c r="F37" s="72">
        <f t="shared" si="4"/>
        <v>0</v>
      </c>
      <c r="G37" s="546">
        <v>0</v>
      </c>
      <c r="H37" s="547">
        <v>0</v>
      </c>
      <c r="I37" s="548">
        <v>0</v>
      </c>
      <c r="J37" s="548">
        <v>0</v>
      </c>
      <c r="K37" s="549">
        <v>0</v>
      </c>
    </row>
    <row r="38" spans="1:11" outlineLevel="2" x14ac:dyDescent="0.25">
      <c r="A38" s="1318"/>
      <c r="B38" s="1311"/>
      <c r="C38" s="1312"/>
      <c r="D38" s="1312"/>
      <c r="E38" s="68" t="s">
        <v>27</v>
      </c>
      <c r="F38" s="72">
        <f t="shared" si="4"/>
        <v>0</v>
      </c>
      <c r="G38" s="546">
        <v>0</v>
      </c>
      <c r="H38" s="547">
        <v>0</v>
      </c>
      <c r="I38" s="548">
        <v>0</v>
      </c>
      <c r="J38" s="548">
        <v>0</v>
      </c>
      <c r="K38" s="549">
        <v>0</v>
      </c>
    </row>
    <row r="39" spans="1:11" outlineLevel="2" x14ac:dyDescent="0.25">
      <c r="A39" s="1318"/>
      <c r="B39" s="1311"/>
      <c r="C39" s="1312"/>
      <c r="D39" s="1312"/>
      <c r="E39" s="68" t="s">
        <v>28</v>
      </c>
      <c r="F39" s="72">
        <f t="shared" si="4"/>
        <v>0</v>
      </c>
      <c r="G39" s="546">
        <v>0</v>
      </c>
      <c r="H39" s="547">
        <v>0</v>
      </c>
      <c r="I39" s="548">
        <v>0</v>
      </c>
      <c r="J39" s="548">
        <v>0</v>
      </c>
      <c r="K39" s="549">
        <v>0</v>
      </c>
    </row>
    <row r="40" spans="1:11" outlineLevel="2" x14ac:dyDescent="0.25">
      <c r="A40" s="1318"/>
      <c r="B40" s="1311"/>
      <c r="C40" s="1312"/>
      <c r="D40" s="1312"/>
      <c r="E40" s="68" t="s">
        <v>29</v>
      </c>
      <c r="F40" s="72">
        <f t="shared" si="4"/>
        <v>0</v>
      </c>
      <c r="G40" s="546">
        <v>0</v>
      </c>
      <c r="H40" s="547">
        <v>0</v>
      </c>
      <c r="I40" s="548">
        <v>0</v>
      </c>
      <c r="J40" s="548">
        <v>0</v>
      </c>
      <c r="K40" s="549">
        <v>0</v>
      </c>
    </row>
    <row r="41" spans="1:11" outlineLevel="2" x14ac:dyDescent="0.25">
      <c r="A41" s="1318"/>
      <c r="B41" s="1311"/>
      <c r="C41" s="1312"/>
      <c r="D41" s="1312"/>
      <c r="E41" s="68" t="s">
        <v>30</v>
      </c>
      <c r="F41" s="72">
        <f t="shared" si="4"/>
        <v>0</v>
      </c>
      <c r="G41" s="546">
        <v>0</v>
      </c>
      <c r="H41" s="547">
        <v>0</v>
      </c>
      <c r="I41" s="548">
        <v>0</v>
      </c>
      <c r="J41" s="548">
        <v>0</v>
      </c>
      <c r="K41" s="549">
        <v>0</v>
      </c>
    </row>
    <row r="42" spans="1:11" outlineLevel="2" x14ac:dyDescent="0.25">
      <c r="A42" s="1318"/>
      <c r="B42" s="1311"/>
      <c r="C42" s="1312"/>
      <c r="D42" s="1312"/>
      <c r="E42" s="68" t="s">
        <v>31</v>
      </c>
      <c r="F42" s="72">
        <f t="shared" si="4"/>
        <v>0</v>
      </c>
      <c r="G42" s="546">
        <v>0</v>
      </c>
      <c r="H42" s="547">
        <v>0</v>
      </c>
      <c r="I42" s="548">
        <v>0</v>
      </c>
      <c r="J42" s="548">
        <v>0</v>
      </c>
      <c r="K42" s="549">
        <v>0</v>
      </c>
    </row>
    <row r="43" spans="1:11" outlineLevel="2" x14ac:dyDescent="0.25">
      <c r="A43" s="1318"/>
      <c r="B43" s="1311"/>
      <c r="C43" s="1312"/>
      <c r="D43" s="1312"/>
      <c r="E43" s="68" t="s">
        <v>32</v>
      </c>
      <c r="F43" s="72">
        <f t="shared" si="4"/>
        <v>0</v>
      </c>
      <c r="G43" s="546">
        <v>0</v>
      </c>
      <c r="H43" s="547">
        <v>0</v>
      </c>
      <c r="I43" s="548">
        <v>0</v>
      </c>
      <c r="J43" s="548">
        <v>0</v>
      </c>
      <c r="K43" s="549">
        <v>0</v>
      </c>
    </row>
    <row r="44" spans="1:11" outlineLevel="2" x14ac:dyDescent="0.25">
      <c r="A44" s="1318"/>
      <c r="B44" s="1311"/>
      <c r="C44" s="1312"/>
      <c r="D44" s="1312"/>
      <c r="E44" s="68" t="s">
        <v>33</v>
      </c>
      <c r="F44" s="72">
        <f t="shared" si="4"/>
        <v>0</v>
      </c>
      <c r="G44" s="546">
        <v>0</v>
      </c>
      <c r="H44" s="547">
        <v>0</v>
      </c>
      <c r="I44" s="548">
        <v>0</v>
      </c>
      <c r="J44" s="548">
        <v>0</v>
      </c>
      <c r="K44" s="549">
        <v>0</v>
      </c>
    </row>
    <row r="45" spans="1:11" ht="15.75" outlineLevel="2" thickBot="1" x14ac:dyDescent="0.3">
      <c r="A45" s="1318"/>
      <c r="B45" s="1311"/>
      <c r="C45" s="1312"/>
      <c r="D45" s="1312"/>
      <c r="E45" s="69" t="s">
        <v>34</v>
      </c>
      <c r="F45" s="73">
        <f t="shared" si="4"/>
        <v>0</v>
      </c>
      <c r="G45" s="551">
        <v>0</v>
      </c>
      <c r="H45" s="552">
        <v>0</v>
      </c>
      <c r="I45" s="553">
        <v>0</v>
      </c>
      <c r="J45" s="553">
        <v>0</v>
      </c>
      <c r="K45" s="554">
        <v>0</v>
      </c>
    </row>
    <row r="46" spans="1:11" outlineLevel="2" x14ac:dyDescent="0.25">
      <c r="A46" s="1318" t="s">
        <v>347</v>
      </c>
      <c r="B46" s="1311" t="s">
        <v>77</v>
      </c>
      <c r="C46" s="1312" t="s">
        <v>78</v>
      </c>
      <c r="D46" s="1311" t="s">
        <v>339</v>
      </c>
      <c r="E46" s="67" t="s">
        <v>25</v>
      </c>
      <c r="F46" s="72">
        <f t="shared" si="4"/>
        <v>0</v>
      </c>
      <c r="G46" s="541">
        <v>0</v>
      </c>
      <c r="H46" s="542">
        <v>0</v>
      </c>
      <c r="I46" s="543">
        <v>0</v>
      </c>
      <c r="J46" s="543">
        <v>0</v>
      </c>
      <c r="K46" s="544">
        <v>0</v>
      </c>
    </row>
    <row r="47" spans="1:11" outlineLevel="2" x14ac:dyDescent="0.25">
      <c r="A47" s="1318"/>
      <c r="B47" s="1311"/>
      <c r="C47" s="1312"/>
      <c r="D47" s="1311"/>
      <c r="E47" s="68" t="s">
        <v>26</v>
      </c>
      <c r="F47" s="72">
        <f t="shared" si="4"/>
        <v>0</v>
      </c>
      <c r="G47" s="546">
        <v>0</v>
      </c>
      <c r="H47" s="547">
        <v>0</v>
      </c>
      <c r="I47" s="548">
        <v>0</v>
      </c>
      <c r="J47" s="548">
        <v>0</v>
      </c>
      <c r="K47" s="549">
        <v>0</v>
      </c>
    </row>
    <row r="48" spans="1:11" outlineLevel="2" x14ac:dyDescent="0.25">
      <c r="A48" s="1318"/>
      <c r="B48" s="1311"/>
      <c r="C48" s="1312"/>
      <c r="D48" s="1311"/>
      <c r="E48" s="68" t="s">
        <v>27</v>
      </c>
      <c r="F48" s="72">
        <f t="shared" si="4"/>
        <v>0</v>
      </c>
      <c r="G48" s="546">
        <v>0</v>
      </c>
      <c r="H48" s="547">
        <v>0</v>
      </c>
      <c r="I48" s="548">
        <v>0</v>
      </c>
      <c r="J48" s="548">
        <v>0</v>
      </c>
      <c r="K48" s="549">
        <v>0</v>
      </c>
    </row>
    <row r="49" spans="1:11" outlineLevel="2" x14ac:dyDescent="0.25">
      <c r="A49" s="1318"/>
      <c r="B49" s="1311"/>
      <c r="C49" s="1312"/>
      <c r="D49" s="1311"/>
      <c r="E49" s="68" t="s">
        <v>28</v>
      </c>
      <c r="F49" s="72">
        <f t="shared" si="4"/>
        <v>0</v>
      </c>
      <c r="G49" s="546">
        <v>0</v>
      </c>
      <c r="H49" s="547">
        <v>0</v>
      </c>
      <c r="I49" s="548">
        <v>0</v>
      </c>
      <c r="J49" s="548">
        <v>0</v>
      </c>
      <c r="K49" s="549">
        <v>0</v>
      </c>
    </row>
    <row r="50" spans="1:11" outlineLevel="2" x14ac:dyDescent="0.25">
      <c r="A50" s="1318"/>
      <c r="B50" s="1311"/>
      <c r="C50" s="1312"/>
      <c r="D50" s="1311"/>
      <c r="E50" s="68" t="s">
        <v>29</v>
      </c>
      <c r="F50" s="72">
        <f t="shared" si="4"/>
        <v>0</v>
      </c>
      <c r="G50" s="546">
        <v>0</v>
      </c>
      <c r="H50" s="547">
        <v>0</v>
      </c>
      <c r="I50" s="548">
        <v>0</v>
      </c>
      <c r="J50" s="548">
        <v>0</v>
      </c>
      <c r="K50" s="549">
        <v>0</v>
      </c>
    </row>
    <row r="51" spans="1:11" outlineLevel="2" x14ac:dyDescent="0.25">
      <c r="A51" s="1318"/>
      <c r="B51" s="1311"/>
      <c r="C51" s="1312"/>
      <c r="D51" s="1311"/>
      <c r="E51" s="68" t="s">
        <v>30</v>
      </c>
      <c r="F51" s="72">
        <f t="shared" si="4"/>
        <v>0</v>
      </c>
      <c r="G51" s="546">
        <v>0</v>
      </c>
      <c r="H51" s="547">
        <v>0</v>
      </c>
      <c r="I51" s="548">
        <v>0</v>
      </c>
      <c r="J51" s="548">
        <v>0</v>
      </c>
      <c r="K51" s="549">
        <v>0</v>
      </c>
    </row>
    <row r="52" spans="1:11" outlineLevel="2" x14ac:dyDescent="0.25">
      <c r="A52" s="1318"/>
      <c r="B52" s="1311"/>
      <c r="C52" s="1312"/>
      <c r="D52" s="1311"/>
      <c r="E52" s="68" t="s">
        <v>31</v>
      </c>
      <c r="F52" s="72">
        <f t="shared" si="4"/>
        <v>0</v>
      </c>
      <c r="G52" s="546">
        <v>0</v>
      </c>
      <c r="H52" s="547">
        <v>0</v>
      </c>
      <c r="I52" s="548">
        <v>0</v>
      </c>
      <c r="J52" s="548">
        <v>0</v>
      </c>
      <c r="K52" s="549">
        <v>0</v>
      </c>
    </row>
    <row r="53" spans="1:11" outlineLevel="2" x14ac:dyDescent="0.25">
      <c r="A53" s="1318"/>
      <c r="B53" s="1311"/>
      <c r="C53" s="1312"/>
      <c r="D53" s="1311"/>
      <c r="E53" s="68" t="s">
        <v>32</v>
      </c>
      <c r="F53" s="72">
        <f t="shared" si="4"/>
        <v>0</v>
      </c>
      <c r="G53" s="546">
        <v>0</v>
      </c>
      <c r="H53" s="547">
        <v>0</v>
      </c>
      <c r="I53" s="548">
        <v>0</v>
      </c>
      <c r="J53" s="548">
        <v>0</v>
      </c>
      <c r="K53" s="549">
        <v>0</v>
      </c>
    </row>
    <row r="54" spans="1:11" outlineLevel="2" x14ac:dyDescent="0.25">
      <c r="A54" s="1318"/>
      <c r="B54" s="1311"/>
      <c r="C54" s="1312"/>
      <c r="D54" s="1311"/>
      <c r="E54" s="68" t="s">
        <v>33</v>
      </c>
      <c r="F54" s="72">
        <f t="shared" si="4"/>
        <v>0</v>
      </c>
      <c r="G54" s="546">
        <v>0</v>
      </c>
      <c r="H54" s="547">
        <v>0</v>
      </c>
      <c r="I54" s="548">
        <v>0</v>
      </c>
      <c r="J54" s="548">
        <v>0</v>
      </c>
      <c r="K54" s="549">
        <v>0</v>
      </c>
    </row>
    <row r="55" spans="1:11" ht="15.75" outlineLevel="2" thickBot="1" x14ac:dyDescent="0.3">
      <c r="A55" s="1318"/>
      <c r="B55" s="1311"/>
      <c r="C55" s="1312"/>
      <c r="D55" s="1311"/>
      <c r="E55" s="68" t="s">
        <v>34</v>
      </c>
      <c r="F55" s="73">
        <f t="shared" si="4"/>
        <v>0</v>
      </c>
      <c r="G55" s="551">
        <v>0</v>
      </c>
      <c r="H55" s="552">
        <v>0</v>
      </c>
      <c r="I55" s="553">
        <v>0</v>
      </c>
      <c r="J55" s="553">
        <v>0</v>
      </c>
      <c r="K55" s="554">
        <v>0</v>
      </c>
    </row>
    <row r="56" spans="1:11" ht="15.75" thickBot="1" x14ac:dyDescent="0.3">
      <c r="A56" s="506" t="s">
        <v>327</v>
      </c>
      <c r="B56" s="1315" t="s">
        <v>79</v>
      </c>
      <c r="C56" s="1316"/>
      <c r="D56" s="1316"/>
      <c r="E56" s="79"/>
      <c r="F56" s="77">
        <f t="shared" ref="F56:K56" si="5">F57+F78</f>
        <v>2756627.4600000009</v>
      </c>
      <c r="G56" s="519">
        <f t="shared" si="5"/>
        <v>2740467.0995695181</v>
      </c>
      <c r="H56" s="519">
        <f t="shared" si="5"/>
        <v>7796.0218639395925</v>
      </c>
      <c r="I56" s="520">
        <f t="shared" si="5"/>
        <v>7516.4467118524017</v>
      </c>
      <c r="J56" s="520">
        <f t="shared" si="5"/>
        <v>847.89185469066717</v>
      </c>
      <c r="K56" s="521">
        <f t="shared" si="5"/>
        <v>0</v>
      </c>
    </row>
    <row r="57" spans="1:11" ht="15.75" outlineLevel="1" thickBot="1" x14ac:dyDescent="0.3">
      <c r="A57" s="506" t="s">
        <v>328</v>
      </c>
      <c r="B57" s="17" t="s">
        <v>104</v>
      </c>
      <c r="C57" s="17"/>
      <c r="D57" s="17"/>
      <c r="E57" s="28"/>
      <c r="F57" s="113">
        <f t="shared" ref="F57:K57" si="6">SUM(F58:F77)</f>
        <v>0</v>
      </c>
      <c r="G57" s="556">
        <f t="shared" si="6"/>
        <v>0</v>
      </c>
      <c r="H57" s="556">
        <f t="shared" si="6"/>
        <v>0</v>
      </c>
      <c r="I57" s="557">
        <f t="shared" si="6"/>
        <v>0</v>
      </c>
      <c r="J57" s="557">
        <f t="shared" si="6"/>
        <v>0</v>
      </c>
      <c r="K57" s="558">
        <f t="shared" si="6"/>
        <v>0</v>
      </c>
    </row>
    <row r="58" spans="1:11" outlineLevel="2" x14ac:dyDescent="0.25">
      <c r="A58" s="1318" t="s">
        <v>348</v>
      </c>
      <c r="B58" s="1311" t="s">
        <v>80</v>
      </c>
      <c r="C58" s="1312" t="s">
        <v>81</v>
      </c>
      <c r="D58" s="1311" t="s">
        <v>340</v>
      </c>
      <c r="E58" s="67" t="s">
        <v>25</v>
      </c>
      <c r="F58" s="64">
        <f t="shared" ref="F58:F77" si="7">SUM(G58:K58)</f>
        <v>0</v>
      </c>
      <c r="G58" s="523">
        <v>0</v>
      </c>
      <c r="H58" s="524">
        <v>0</v>
      </c>
      <c r="I58" s="524">
        <v>0</v>
      </c>
      <c r="J58" s="525">
        <v>0</v>
      </c>
      <c r="K58" s="526">
        <v>0</v>
      </c>
    </row>
    <row r="59" spans="1:11" outlineLevel="2" x14ac:dyDescent="0.25">
      <c r="A59" s="1318"/>
      <c r="B59" s="1311"/>
      <c r="C59" s="1312"/>
      <c r="D59" s="1311"/>
      <c r="E59" s="68" t="s">
        <v>26</v>
      </c>
      <c r="F59" s="65">
        <f t="shared" si="7"/>
        <v>0</v>
      </c>
      <c r="G59" s="528">
        <v>0</v>
      </c>
      <c r="H59" s="529">
        <v>0</v>
      </c>
      <c r="I59" s="529">
        <v>0</v>
      </c>
      <c r="J59" s="530">
        <v>0</v>
      </c>
      <c r="K59" s="531">
        <v>0</v>
      </c>
    </row>
    <row r="60" spans="1:11" outlineLevel="2" x14ac:dyDescent="0.25">
      <c r="A60" s="1318"/>
      <c r="B60" s="1311"/>
      <c r="C60" s="1312"/>
      <c r="D60" s="1311"/>
      <c r="E60" s="68" t="s">
        <v>27</v>
      </c>
      <c r="F60" s="65">
        <f t="shared" si="7"/>
        <v>0</v>
      </c>
      <c r="G60" s="528">
        <v>0</v>
      </c>
      <c r="H60" s="529">
        <v>0</v>
      </c>
      <c r="I60" s="529">
        <v>0</v>
      </c>
      <c r="J60" s="530">
        <v>0</v>
      </c>
      <c r="K60" s="531">
        <v>0</v>
      </c>
    </row>
    <row r="61" spans="1:11" outlineLevel="2" x14ac:dyDescent="0.25">
      <c r="A61" s="1318"/>
      <c r="B61" s="1311"/>
      <c r="C61" s="1312"/>
      <c r="D61" s="1311"/>
      <c r="E61" s="68" t="s">
        <v>28</v>
      </c>
      <c r="F61" s="65">
        <f t="shared" si="7"/>
        <v>0</v>
      </c>
      <c r="G61" s="528">
        <v>0</v>
      </c>
      <c r="H61" s="529">
        <v>0</v>
      </c>
      <c r="I61" s="529">
        <v>0</v>
      </c>
      <c r="J61" s="530">
        <v>0</v>
      </c>
      <c r="K61" s="531">
        <v>0</v>
      </c>
    </row>
    <row r="62" spans="1:11" outlineLevel="2" x14ac:dyDescent="0.25">
      <c r="A62" s="1318"/>
      <c r="B62" s="1311"/>
      <c r="C62" s="1312"/>
      <c r="D62" s="1311"/>
      <c r="E62" s="68" t="s">
        <v>29</v>
      </c>
      <c r="F62" s="65">
        <f t="shared" si="7"/>
        <v>0</v>
      </c>
      <c r="G62" s="528">
        <v>0</v>
      </c>
      <c r="H62" s="529">
        <v>0</v>
      </c>
      <c r="I62" s="529">
        <v>0</v>
      </c>
      <c r="J62" s="530">
        <v>0</v>
      </c>
      <c r="K62" s="531">
        <v>0</v>
      </c>
    </row>
    <row r="63" spans="1:11" outlineLevel="2" x14ac:dyDescent="0.25">
      <c r="A63" s="1318"/>
      <c r="B63" s="1311"/>
      <c r="C63" s="1312"/>
      <c r="D63" s="1311"/>
      <c r="E63" s="68" t="s">
        <v>30</v>
      </c>
      <c r="F63" s="65">
        <f t="shared" si="7"/>
        <v>0</v>
      </c>
      <c r="G63" s="528">
        <v>0</v>
      </c>
      <c r="H63" s="529">
        <v>0</v>
      </c>
      <c r="I63" s="529">
        <v>0</v>
      </c>
      <c r="J63" s="530">
        <v>0</v>
      </c>
      <c r="K63" s="531">
        <v>0</v>
      </c>
    </row>
    <row r="64" spans="1:11" outlineLevel="2" x14ac:dyDescent="0.25">
      <c r="A64" s="1318"/>
      <c r="B64" s="1311"/>
      <c r="C64" s="1312"/>
      <c r="D64" s="1311"/>
      <c r="E64" s="68" t="s">
        <v>31</v>
      </c>
      <c r="F64" s="65">
        <f t="shared" si="7"/>
        <v>0</v>
      </c>
      <c r="G64" s="528">
        <v>0</v>
      </c>
      <c r="H64" s="529">
        <v>0</v>
      </c>
      <c r="I64" s="529">
        <v>0</v>
      </c>
      <c r="J64" s="530">
        <v>0</v>
      </c>
      <c r="K64" s="531">
        <v>0</v>
      </c>
    </row>
    <row r="65" spans="1:11" outlineLevel="2" x14ac:dyDescent="0.25">
      <c r="A65" s="1318"/>
      <c r="B65" s="1311"/>
      <c r="C65" s="1312"/>
      <c r="D65" s="1311"/>
      <c r="E65" s="68" t="s">
        <v>32</v>
      </c>
      <c r="F65" s="65">
        <f t="shared" si="7"/>
        <v>0</v>
      </c>
      <c r="G65" s="528">
        <v>0</v>
      </c>
      <c r="H65" s="529">
        <v>0</v>
      </c>
      <c r="I65" s="529">
        <v>0</v>
      </c>
      <c r="J65" s="530">
        <v>0</v>
      </c>
      <c r="K65" s="531">
        <v>0</v>
      </c>
    </row>
    <row r="66" spans="1:11" outlineLevel="2" x14ac:dyDescent="0.25">
      <c r="A66" s="1318"/>
      <c r="B66" s="1311"/>
      <c r="C66" s="1312"/>
      <c r="D66" s="1311"/>
      <c r="E66" s="68" t="s">
        <v>33</v>
      </c>
      <c r="F66" s="65">
        <f t="shared" si="7"/>
        <v>0</v>
      </c>
      <c r="G66" s="528">
        <v>0</v>
      </c>
      <c r="H66" s="529">
        <v>0</v>
      </c>
      <c r="I66" s="529">
        <v>0</v>
      </c>
      <c r="J66" s="530">
        <v>0</v>
      </c>
      <c r="K66" s="531">
        <v>0</v>
      </c>
    </row>
    <row r="67" spans="1:11" ht="15.75" outlineLevel="2" thickBot="1" x14ac:dyDescent="0.3">
      <c r="A67" s="1318"/>
      <c r="B67" s="1311"/>
      <c r="C67" s="1312"/>
      <c r="D67" s="1311"/>
      <c r="E67" s="69" t="s">
        <v>34</v>
      </c>
      <c r="F67" s="66">
        <f t="shared" si="7"/>
        <v>0</v>
      </c>
      <c r="G67" s="532">
        <v>0</v>
      </c>
      <c r="H67" s="533">
        <v>0</v>
      </c>
      <c r="I67" s="533">
        <v>0</v>
      </c>
      <c r="J67" s="534">
        <v>0</v>
      </c>
      <c r="K67" s="535">
        <v>0</v>
      </c>
    </row>
    <row r="68" spans="1:11" outlineLevel="2" x14ac:dyDescent="0.25">
      <c r="A68" s="1318" t="s">
        <v>349</v>
      </c>
      <c r="B68" s="1311" t="s">
        <v>82</v>
      </c>
      <c r="C68" s="1312" t="s">
        <v>73</v>
      </c>
      <c r="D68" s="1311" t="s">
        <v>341</v>
      </c>
      <c r="E68" s="67" t="s">
        <v>25</v>
      </c>
      <c r="F68" s="65">
        <f t="shared" si="7"/>
        <v>0</v>
      </c>
      <c r="G68" s="523">
        <v>0</v>
      </c>
      <c r="H68" s="524">
        <v>0</v>
      </c>
      <c r="I68" s="525">
        <v>0</v>
      </c>
      <c r="J68" s="525">
        <v>0</v>
      </c>
      <c r="K68" s="526">
        <v>0</v>
      </c>
    </row>
    <row r="69" spans="1:11" outlineLevel="2" x14ac:dyDescent="0.25">
      <c r="A69" s="1318"/>
      <c r="B69" s="1311"/>
      <c r="C69" s="1312"/>
      <c r="D69" s="1311"/>
      <c r="E69" s="68" t="s">
        <v>26</v>
      </c>
      <c r="F69" s="65">
        <f t="shared" si="7"/>
        <v>0</v>
      </c>
      <c r="G69" s="528">
        <v>0</v>
      </c>
      <c r="H69" s="529">
        <v>0</v>
      </c>
      <c r="I69" s="530">
        <v>0</v>
      </c>
      <c r="J69" s="530">
        <v>0</v>
      </c>
      <c r="K69" s="531">
        <v>0</v>
      </c>
    </row>
    <row r="70" spans="1:11" outlineLevel="2" x14ac:dyDescent="0.25">
      <c r="A70" s="1318"/>
      <c r="B70" s="1311"/>
      <c r="C70" s="1312"/>
      <c r="D70" s="1311"/>
      <c r="E70" s="68" t="s">
        <v>27</v>
      </c>
      <c r="F70" s="65">
        <f t="shared" si="7"/>
        <v>0</v>
      </c>
      <c r="G70" s="528">
        <v>0</v>
      </c>
      <c r="H70" s="529">
        <v>0</v>
      </c>
      <c r="I70" s="530">
        <v>0</v>
      </c>
      <c r="J70" s="530">
        <v>0</v>
      </c>
      <c r="K70" s="531">
        <v>0</v>
      </c>
    </row>
    <row r="71" spans="1:11" outlineLevel="2" x14ac:dyDescent="0.25">
      <c r="A71" s="1318"/>
      <c r="B71" s="1311"/>
      <c r="C71" s="1312"/>
      <c r="D71" s="1311"/>
      <c r="E71" s="68" t="s">
        <v>28</v>
      </c>
      <c r="F71" s="65">
        <f t="shared" si="7"/>
        <v>0</v>
      </c>
      <c r="G71" s="528">
        <v>0</v>
      </c>
      <c r="H71" s="529">
        <v>0</v>
      </c>
      <c r="I71" s="530">
        <v>0</v>
      </c>
      <c r="J71" s="530">
        <v>0</v>
      </c>
      <c r="K71" s="531">
        <v>0</v>
      </c>
    </row>
    <row r="72" spans="1:11" outlineLevel="2" x14ac:dyDescent="0.25">
      <c r="A72" s="1318"/>
      <c r="B72" s="1311"/>
      <c r="C72" s="1312"/>
      <c r="D72" s="1311"/>
      <c r="E72" s="68" t="s">
        <v>29</v>
      </c>
      <c r="F72" s="65">
        <f t="shared" si="7"/>
        <v>0</v>
      </c>
      <c r="G72" s="528">
        <v>0</v>
      </c>
      <c r="H72" s="529">
        <v>0</v>
      </c>
      <c r="I72" s="530">
        <v>0</v>
      </c>
      <c r="J72" s="530">
        <v>0</v>
      </c>
      <c r="K72" s="531">
        <v>0</v>
      </c>
    </row>
    <row r="73" spans="1:11" outlineLevel="2" x14ac:dyDescent="0.25">
      <c r="A73" s="1318"/>
      <c r="B73" s="1311"/>
      <c r="C73" s="1312"/>
      <c r="D73" s="1311"/>
      <c r="E73" s="68" t="s">
        <v>30</v>
      </c>
      <c r="F73" s="65">
        <f t="shared" si="7"/>
        <v>0</v>
      </c>
      <c r="G73" s="528">
        <v>0</v>
      </c>
      <c r="H73" s="529">
        <v>0</v>
      </c>
      <c r="I73" s="530">
        <v>0</v>
      </c>
      <c r="J73" s="530">
        <v>0</v>
      </c>
      <c r="K73" s="531">
        <v>0</v>
      </c>
    </row>
    <row r="74" spans="1:11" outlineLevel="2" x14ac:dyDescent="0.25">
      <c r="A74" s="1318"/>
      <c r="B74" s="1311"/>
      <c r="C74" s="1312"/>
      <c r="D74" s="1311"/>
      <c r="E74" s="68" t="s">
        <v>31</v>
      </c>
      <c r="F74" s="65">
        <f t="shared" si="7"/>
        <v>0</v>
      </c>
      <c r="G74" s="528">
        <v>0</v>
      </c>
      <c r="H74" s="529">
        <v>0</v>
      </c>
      <c r="I74" s="530">
        <v>0</v>
      </c>
      <c r="J74" s="530">
        <v>0</v>
      </c>
      <c r="K74" s="531">
        <v>0</v>
      </c>
    </row>
    <row r="75" spans="1:11" outlineLevel="2" x14ac:dyDescent="0.25">
      <c r="A75" s="1318"/>
      <c r="B75" s="1311"/>
      <c r="C75" s="1312"/>
      <c r="D75" s="1311"/>
      <c r="E75" s="68" t="s">
        <v>32</v>
      </c>
      <c r="F75" s="65">
        <f t="shared" si="7"/>
        <v>0</v>
      </c>
      <c r="G75" s="528">
        <v>0</v>
      </c>
      <c r="H75" s="529">
        <v>0</v>
      </c>
      <c r="I75" s="530">
        <v>0</v>
      </c>
      <c r="J75" s="530">
        <v>0</v>
      </c>
      <c r="K75" s="531">
        <v>0</v>
      </c>
    </row>
    <row r="76" spans="1:11" outlineLevel="2" x14ac:dyDescent="0.25">
      <c r="A76" s="1318"/>
      <c r="B76" s="1311"/>
      <c r="C76" s="1312"/>
      <c r="D76" s="1311"/>
      <c r="E76" s="68" t="s">
        <v>33</v>
      </c>
      <c r="F76" s="65">
        <f t="shared" si="7"/>
        <v>0</v>
      </c>
      <c r="G76" s="528">
        <v>0</v>
      </c>
      <c r="H76" s="529">
        <v>0</v>
      </c>
      <c r="I76" s="530">
        <v>0</v>
      </c>
      <c r="J76" s="530">
        <v>0</v>
      </c>
      <c r="K76" s="531">
        <v>0</v>
      </c>
    </row>
    <row r="77" spans="1:11" ht="15.75" outlineLevel="2" thickBot="1" x14ac:dyDescent="0.3">
      <c r="A77" s="1318"/>
      <c r="B77" s="1311"/>
      <c r="C77" s="1312"/>
      <c r="D77" s="1311"/>
      <c r="E77" s="69" t="s">
        <v>34</v>
      </c>
      <c r="F77" s="66">
        <f t="shared" si="7"/>
        <v>0</v>
      </c>
      <c r="G77" s="532">
        <v>0</v>
      </c>
      <c r="H77" s="533">
        <v>0</v>
      </c>
      <c r="I77" s="534">
        <v>0</v>
      </c>
      <c r="J77" s="534">
        <v>0</v>
      </c>
      <c r="K77" s="535">
        <v>0</v>
      </c>
    </row>
    <row r="78" spans="1:11" ht="15.75" outlineLevel="1" thickBot="1" x14ac:dyDescent="0.3">
      <c r="A78" s="506" t="s">
        <v>329</v>
      </c>
      <c r="B78" s="17" t="s">
        <v>105</v>
      </c>
      <c r="C78" s="17"/>
      <c r="D78" s="17"/>
      <c r="E78" s="28"/>
      <c r="F78" s="114">
        <f t="shared" ref="F78:K78" si="8">SUM(F79:F128)</f>
        <v>2756627.4600000009</v>
      </c>
      <c r="G78" s="560">
        <f t="shared" si="8"/>
        <v>2740467.0995695181</v>
      </c>
      <c r="H78" s="560">
        <f t="shared" si="8"/>
        <v>7796.0218639395925</v>
      </c>
      <c r="I78" s="561">
        <f t="shared" si="8"/>
        <v>7516.4467118524017</v>
      </c>
      <c r="J78" s="561">
        <f t="shared" si="8"/>
        <v>847.89185469066717</v>
      </c>
      <c r="K78" s="562">
        <f t="shared" si="8"/>
        <v>0</v>
      </c>
    </row>
    <row r="79" spans="1:11" outlineLevel="2" x14ac:dyDescent="0.25">
      <c r="A79" s="1318" t="s">
        <v>350</v>
      </c>
      <c r="B79" s="1311" t="s">
        <v>83</v>
      </c>
      <c r="C79" s="1312" t="s">
        <v>81</v>
      </c>
      <c r="D79" s="1311" t="s">
        <v>340</v>
      </c>
      <c r="E79" s="67" t="s">
        <v>25</v>
      </c>
      <c r="F79" s="71">
        <f t="shared" ref="F79:F110" si="9">SUM(G79:K79)</f>
        <v>0</v>
      </c>
      <c r="G79" s="541">
        <v>0</v>
      </c>
      <c r="H79" s="524">
        <v>0</v>
      </c>
      <c r="I79" s="525">
        <v>0</v>
      </c>
      <c r="J79" s="525">
        <v>0</v>
      </c>
      <c r="K79" s="526">
        <v>0</v>
      </c>
    </row>
    <row r="80" spans="1:11" outlineLevel="2" x14ac:dyDescent="0.25">
      <c r="A80" s="1318"/>
      <c r="B80" s="1311"/>
      <c r="C80" s="1312"/>
      <c r="D80" s="1311"/>
      <c r="E80" s="68" t="s">
        <v>26</v>
      </c>
      <c r="F80" s="72">
        <f t="shared" si="9"/>
        <v>0</v>
      </c>
      <c r="G80" s="546">
        <v>0</v>
      </c>
      <c r="H80" s="529">
        <v>0</v>
      </c>
      <c r="I80" s="530">
        <v>0</v>
      </c>
      <c r="J80" s="530">
        <v>0</v>
      </c>
      <c r="K80" s="531">
        <v>0</v>
      </c>
    </row>
    <row r="81" spans="1:11" outlineLevel="2" x14ac:dyDescent="0.25">
      <c r="A81" s="1318"/>
      <c r="B81" s="1311"/>
      <c r="C81" s="1312"/>
      <c r="D81" s="1311"/>
      <c r="E81" s="68" t="s">
        <v>27</v>
      </c>
      <c r="F81" s="72">
        <f t="shared" si="9"/>
        <v>14358.026115645042</v>
      </c>
      <c r="G81" s="546">
        <f>Faktory!C34*Faktory!G28*12*1.2/2</f>
        <v>14358.026115645042</v>
      </c>
      <c r="H81" s="529">
        <v>0</v>
      </c>
      <c r="I81" s="530">
        <v>0</v>
      </c>
      <c r="J81" s="530">
        <v>0</v>
      </c>
      <c r="K81" s="531">
        <v>0</v>
      </c>
    </row>
    <row r="82" spans="1:11" outlineLevel="2" x14ac:dyDescent="0.25">
      <c r="A82" s="1318"/>
      <c r="B82" s="1311"/>
      <c r="C82" s="1312"/>
      <c r="D82" s="1311"/>
      <c r="E82" s="68" t="s">
        <v>28</v>
      </c>
      <c r="F82" s="72">
        <f t="shared" si="9"/>
        <v>28716.052231290083</v>
      </c>
      <c r="G82" s="546">
        <f>G81*2</f>
        <v>28716.052231290083</v>
      </c>
      <c r="H82" s="529">
        <v>0</v>
      </c>
      <c r="I82" s="530">
        <v>0</v>
      </c>
      <c r="J82" s="530">
        <v>0</v>
      </c>
      <c r="K82" s="531">
        <v>0</v>
      </c>
    </row>
    <row r="83" spans="1:11" outlineLevel="2" x14ac:dyDescent="0.25">
      <c r="A83" s="1318"/>
      <c r="B83" s="1311"/>
      <c r="C83" s="1312"/>
      <c r="D83" s="1311"/>
      <c r="E83" s="68" t="s">
        <v>29</v>
      </c>
      <c r="F83" s="72">
        <f t="shared" si="9"/>
        <v>28716.052231290083</v>
      </c>
      <c r="G83" s="546">
        <f t="shared" ref="G83:G88" si="10">G82</f>
        <v>28716.052231290083</v>
      </c>
      <c r="H83" s="529">
        <v>0</v>
      </c>
      <c r="I83" s="530">
        <v>0</v>
      </c>
      <c r="J83" s="530">
        <v>0</v>
      </c>
      <c r="K83" s="531">
        <v>0</v>
      </c>
    </row>
    <row r="84" spans="1:11" outlineLevel="2" x14ac:dyDescent="0.25">
      <c r="A84" s="1318"/>
      <c r="B84" s="1311"/>
      <c r="C84" s="1312"/>
      <c r="D84" s="1311"/>
      <c r="E84" s="68" t="s">
        <v>30</v>
      </c>
      <c r="F84" s="72">
        <f t="shared" si="9"/>
        <v>28716.052231290083</v>
      </c>
      <c r="G84" s="546">
        <f t="shared" si="10"/>
        <v>28716.052231290083</v>
      </c>
      <c r="H84" s="529">
        <v>0</v>
      </c>
      <c r="I84" s="530">
        <v>0</v>
      </c>
      <c r="J84" s="530">
        <v>0</v>
      </c>
      <c r="K84" s="531">
        <v>0</v>
      </c>
    </row>
    <row r="85" spans="1:11" outlineLevel="2" x14ac:dyDescent="0.25">
      <c r="A85" s="1318"/>
      <c r="B85" s="1311"/>
      <c r="C85" s="1312"/>
      <c r="D85" s="1311"/>
      <c r="E85" s="68" t="s">
        <v>31</v>
      </c>
      <c r="F85" s="72">
        <f t="shared" si="9"/>
        <v>28716.052231290083</v>
      </c>
      <c r="G85" s="546">
        <f t="shared" si="10"/>
        <v>28716.052231290083</v>
      </c>
      <c r="H85" s="529">
        <v>0</v>
      </c>
      <c r="I85" s="530">
        <v>0</v>
      </c>
      <c r="J85" s="530">
        <v>0</v>
      </c>
      <c r="K85" s="531">
        <v>0</v>
      </c>
    </row>
    <row r="86" spans="1:11" outlineLevel="2" x14ac:dyDescent="0.25">
      <c r="A86" s="1318"/>
      <c r="B86" s="1311"/>
      <c r="C86" s="1312"/>
      <c r="D86" s="1311"/>
      <c r="E86" s="68" t="s">
        <v>32</v>
      </c>
      <c r="F86" s="72">
        <f t="shared" si="9"/>
        <v>28716.052231290083</v>
      </c>
      <c r="G86" s="546">
        <f t="shared" si="10"/>
        <v>28716.052231290083</v>
      </c>
      <c r="H86" s="529">
        <v>0</v>
      </c>
      <c r="I86" s="530">
        <v>0</v>
      </c>
      <c r="J86" s="530">
        <v>0</v>
      </c>
      <c r="K86" s="531">
        <v>0</v>
      </c>
    </row>
    <row r="87" spans="1:11" outlineLevel="2" x14ac:dyDescent="0.25">
      <c r="A87" s="1318"/>
      <c r="B87" s="1311"/>
      <c r="C87" s="1312"/>
      <c r="D87" s="1311"/>
      <c r="E87" s="68" t="s">
        <v>33</v>
      </c>
      <c r="F87" s="72">
        <f t="shared" si="9"/>
        <v>28716.052231290083</v>
      </c>
      <c r="G87" s="546">
        <f t="shared" si="10"/>
        <v>28716.052231290083</v>
      </c>
      <c r="H87" s="529">
        <v>0</v>
      </c>
      <c r="I87" s="530">
        <v>0</v>
      </c>
      <c r="J87" s="530">
        <v>0</v>
      </c>
      <c r="K87" s="531">
        <v>0</v>
      </c>
    </row>
    <row r="88" spans="1:11" ht="15.75" outlineLevel="2" thickBot="1" x14ac:dyDescent="0.3">
      <c r="A88" s="1318"/>
      <c r="B88" s="1311"/>
      <c r="C88" s="1312"/>
      <c r="D88" s="1311"/>
      <c r="E88" s="69" t="s">
        <v>34</v>
      </c>
      <c r="F88" s="73">
        <f t="shared" si="9"/>
        <v>28716.052231290083</v>
      </c>
      <c r="G88" s="551">
        <f t="shared" si="10"/>
        <v>28716.052231290083</v>
      </c>
      <c r="H88" s="533">
        <v>0</v>
      </c>
      <c r="I88" s="534">
        <v>0</v>
      </c>
      <c r="J88" s="534">
        <v>0</v>
      </c>
      <c r="K88" s="535">
        <v>0</v>
      </c>
    </row>
    <row r="89" spans="1:11" outlineLevel="2" x14ac:dyDescent="0.25">
      <c r="A89" s="1318" t="s">
        <v>351</v>
      </c>
      <c r="B89" s="1311" t="s">
        <v>84</v>
      </c>
      <c r="C89" s="1312" t="s">
        <v>78</v>
      </c>
      <c r="D89" s="1311" t="s">
        <v>342</v>
      </c>
      <c r="E89" s="67" t="s">
        <v>25</v>
      </c>
      <c r="F89" s="72">
        <f t="shared" si="9"/>
        <v>0</v>
      </c>
      <c r="G89" s="541">
        <v>0</v>
      </c>
      <c r="H89" s="542">
        <v>0</v>
      </c>
      <c r="I89" s="543">
        <v>0</v>
      </c>
      <c r="J89" s="543">
        <v>0</v>
      </c>
      <c r="K89" s="544">
        <v>0</v>
      </c>
    </row>
    <row r="90" spans="1:11" outlineLevel="2" x14ac:dyDescent="0.25">
      <c r="A90" s="1318"/>
      <c r="B90" s="1311"/>
      <c r="C90" s="1312"/>
      <c r="D90" s="1311"/>
      <c r="E90" s="68" t="s">
        <v>26</v>
      </c>
      <c r="F90" s="72">
        <f t="shared" si="9"/>
        <v>0</v>
      </c>
      <c r="G90" s="546">
        <v>0</v>
      </c>
      <c r="H90" s="547">
        <v>0</v>
      </c>
      <c r="I90" s="548">
        <v>0</v>
      </c>
      <c r="J90" s="548">
        <v>0</v>
      </c>
      <c r="K90" s="549">
        <v>0</v>
      </c>
    </row>
    <row r="91" spans="1:11" outlineLevel="2" x14ac:dyDescent="0.25">
      <c r="A91" s="1318"/>
      <c r="B91" s="1311"/>
      <c r="C91" s="1312"/>
      <c r="D91" s="1311"/>
      <c r="E91" s="68" t="s">
        <v>27</v>
      </c>
      <c r="F91" s="72">
        <f t="shared" si="9"/>
        <v>80290.797884354964</v>
      </c>
      <c r="G91" s="546">
        <f>Faktory!C34*Faktory!G27*12*1.2/2</f>
        <v>80290.797884354964</v>
      </c>
      <c r="H91" s="547">
        <v>0</v>
      </c>
      <c r="I91" s="548">
        <v>0</v>
      </c>
      <c r="J91" s="548">
        <v>0</v>
      </c>
      <c r="K91" s="549">
        <v>0</v>
      </c>
    </row>
    <row r="92" spans="1:11" outlineLevel="2" x14ac:dyDescent="0.25">
      <c r="A92" s="1318"/>
      <c r="B92" s="1311"/>
      <c r="C92" s="1312"/>
      <c r="D92" s="1311"/>
      <c r="E92" s="68" t="s">
        <v>28</v>
      </c>
      <c r="F92" s="72">
        <f t="shared" si="9"/>
        <v>160581.59576870993</v>
      </c>
      <c r="G92" s="546">
        <f>G91*2</f>
        <v>160581.59576870993</v>
      </c>
      <c r="H92" s="547">
        <v>0</v>
      </c>
      <c r="I92" s="548">
        <v>0</v>
      </c>
      <c r="J92" s="548">
        <v>0</v>
      </c>
      <c r="K92" s="549">
        <v>0</v>
      </c>
    </row>
    <row r="93" spans="1:11" outlineLevel="2" x14ac:dyDescent="0.25">
      <c r="A93" s="1318"/>
      <c r="B93" s="1311"/>
      <c r="C93" s="1312"/>
      <c r="D93" s="1311"/>
      <c r="E93" s="68" t="s">
        <v>29</v>
      </c>
      <c r="F93" s="72">
        <f t="shared" si="9"/>
        <v>160581.59576870993</v>
      </c>
      <c r="G93" s="546">
        <f t="shared" ref="G93:G98" si="11">G92</f>
        <v>160581.59576870993</v>
      </c>
      <c r="H93" s="547">
        <v>0</v>
      </c>
      <c r="I93" s="548">
        <v>0</v>
      </c>
      <c r="J93" s="548">
        <v>0</v>
      </c>
      <c r="K93" s="549">
        <v>0</v>
      </c>
    </row>
    <row r="94" spans="1:11" outlineLevel="2" x14ac:dyDescent="0.25">
      <c r="A94" s="1318"/>
      <c r="B94" s="1311"/>
      <c r="C94" s="1312"/>
      <c r="D94" s="1311"/>
      <c r="E94" s="68" t="s">
        <v>30</v>
      </c>
      <c r="F94" s="72">
        <f t="shared" si="9"/>
        <v>160581.59576870993</v>
      </c>
      <c r="G94" s="546">
        <f t="shared" si="11"/>
        <v>160581.59576870993</v>
      </c>
      <c r="H94" s="547">
        <v>0</v>
      </c>
      <c r="I94" s="548">
        <v>0</v>
      </c>
      <c r="J94" s="548">
        <v>0</v>
      </c>
      <c r="K94" s="549">
        <v>0</v>
      </c>
    </row>
    <row r="95" spans="1:11" outlineLevel="2" x14ac:dyDescent="0.25">
      <c r="A95" s="1318"/>
      <c r="B95" s="1311"/>
      <c r="C95" s="1312"/>
      <c r="D95" s="1311"/>
      <c r="E95" s="68" t="s">
        <v>31</v>
      </c>
      <c r="F95" s="72">
        <f t="shared" si="9"/>
        <v>160581.59576870993</v>
      </c>
      <c r="G95" s="546">
        <f t="shared" si="11"/>
        <v>160581.59576870993</v>
      </c>
      <c r="H95" s="547">
        <v>0</v>
      </c>
      <c r="I95" s="548">
        <v>0</v>
      </c>
      <c r="J95" s="548">
        <v>0</v>
      </c>
      <c r="K95" s="549">
        <v>0</v>
      </c>
    </row>
    <row r="96" spans="1:11" outlineLevel="2" x14ac:dyDescent="0.25">
      <c r="A96" s="1318"/>
      <c r="B96" s="1311"/>
      <c r="C96" s="1312"/>
      <c r="D96" s="1311"/>
      <c r="E96" s="68" t="s">
        <v>32</v>
      </c>
      <c r="F96" s="72">
        <f t="shared" si="9"/>
        <v>160581.59576870993</v>
      </c>
      <c r="G96" s="546">
        <f t="shared" si="11"/>
        <v>160581.59576870993</v>
      </c>
      <c r="H96" s="547">
        <v>0</v>
      </c>
      <c r="I96" s="548">
        <v>0</v>
      </c>
      <c r="J96" s="548">
        <v>0</v>
      </c>
      <c r="K96" s="549">
        <v>0</v>
      </c>
    </row>
    <row r="97" spans="1:13" outlineLevel="2" x14ac:dyDescent="0.25">
      <c r="A97" s="1318"/>
      <c r="B97" s="1311"/>
      <c r="C97" s="1312"/>
      <c r="D97" s="1311"/>
      <c r="E97" s="68" t="s">
        <v>33</v>
      </c>
      <c r="F97" s="72">
        <f t="shared" si="9"/>
        <v>160581.59576870993</v>
      </c>
      <c r="G97" s="546">
        <f t="shared" si="11"/>
        <v>160581.59576870993</v>
      </c>
      <c r="H97" s="547">
        <v>0</v>
      </c>
      <c r="I97" s="548">
        <v>0</v>
      </c>
      <c r="J97" s="548">
        <v>0</v>
      </c>
      <c r="K97" s="549">
        <v>0</v>
      </c>
    </row>
    <row r="98" spans="1:13" ht="15.75" outlineLevel="2" thickBot="1" x14ac:dyDescent="0.3">
      <c r="A98" s="1318"/>
      <c r="B98" s="1311"/>
      <c r="C98" s="1312"/>
      <c r="D98" s="1311"/>
      <c r="E98" s="69" t="s">
        <v>34</v>
      </c>
      <c r="F98" s="73">
        <f t="shared" si="9"/>
        <v>160581.59576870993</v>
      </c>
      <c r="G98" s="551">
        <f t="shared" si="11"/>
        <v>160581.59576870993</v>
      </c>
      <c r="H98" s="552">
        <v>0</v>
      </c>
      <c r="I98" s="553">
        <v>0</v>
      </c>
      <c r="J98" s="553">
        <v>0</v>
      </c>
      <c r="K98" s="554">
        <v>0</v>
      </c>
    </row>
    <row r="99" spans="1:13" outlineLevel="2" x14ac:dyDescent="0.25">
      <c r="A99" s="1318" t="s">
        <v>352</v>
      </c>
      <c r="B99" s="1311" t="s">
        <v>85</v>
      </c>
      <c r="C99" s="1312" t="s">
        <v>73</v>
      </c>
      <c r="D99" s="1311" t="s">
        <v>341</v>
      </c>
      <c r="E99" s="67" t="s">
        <v>25</v>
      </c>
      <c r="F99" s="72">
        <f t="shared" si="9"/>
        <v>0</v>
      </c>
      <c r="G99" s="541">
        <v>0</v>
      </c>
      <c r="H99" s="542">
        <v>0</v>
      </c>
      <c r="I99" s="543">
        <v>0</v>
      </c>
      <c r="J99" s="543">
        <v>0</v>
      </c>
      <c r="K99" s="544">
        <v>0</v>
      </c>
    </row>
    <row r="100" spans="1:13" outlineLevel="2" x14ac:dyDescent="0.25">
      <c r="A100" s="1318"/>
      <c r="B100" s="1311"/>
      <c r="C100" s="1312"/>
      <c r="D100" s="1311"/>
      <c r="E100" s="68" t="s">
        <v>26</v>
      </c>
      <c r="F100" s="72">
        <f t="shared" si="9"/>
        <v>0</v>
      </c>
      <c r="G100" s="546">
        <v>0</v>
      </c>
      <c r="H100" s="547">
        <v>0</v>
      </c>
      <c r="I100" s="548">
        <v>0</v>
      </c>
      <c r="J100" s="548">
        <v>0</v>
      </c>
      <c r="K100" s="549">
        <v>0</v>
      </c>
    </row>
    <row r="101" spans="1:13" outlineLevel="2" x14ac:dyDescent="0.25">
      <c r="A101" s="1318"/>
      <c r="B101" s="1311"/>
      <c r="C101" s="1312"/>
      <c r="D101" s="1311"/>
      <c r="E101" s="68" t="s">
        <v>27</v>
      </c>
      <c r="F101" s="72">
        <f t="shared" si="9"/>
        <v>30000</v>
      </c>
      <c r="G101" s="546">
        <f>Faktory!F26/5/2</f>
        <v>30000</v>
      </c>
      <c r="H101" s="547">
        <v>0</v>
      </c>
      <c r="I101" s="548">
        <v>0</v>
      </c>
      <c r="J101" s="548">
        <v>0</v>
      </c>
      <c r="K101" s="549">
        <v>0</v>
      </c>
    </row>
    <row r="102" spans="1:13" outlineLevel="2" x14ac:dyDescent="0.25">
      <c r="A102" s="1318"/>
      <c r="B102" s="1311"/>
      <c r="C102" s="1312"/>
      <c r="D102" s="1311"/>
      <c r="E102" s="68" t="s">
        <v>28</v>
      </c>
      <c r="F102" s="72">
        <f t="shared" si="9"/>
        <v>60000</v>
      </c>
      <c r="G102" s="546">
        <f>G101*2</f>
        <v>60000</v>
      </c>
      <c r="H102" s="547">
        <v>0</v>
      </c>
      <c r="I102" s="548">
        <v>0</v>
      </c>
      <c r="J102" s="548">
        <v>0</v>
      </c>
      <c r="K102" s="549">
        <v>0</v>
      </c>
    </row>
    <row r="103" spans="1:13" outlineLevel="2" x14ac:dyDescent="0.25">
      <c r="A103" s="1318"/>
      <c r="B103" s="1311"/>
      <c r="C103" s="1312"/>
      <c r="D103" s="1311"/>
      <c r="E103" s="68" t="s">
        <v>29</v>
      </c>
      <c r="F103" s="72">
        <f t="shared" si="9"/>
        <v>60000</v>
      </c>
      <c r="G103" s="546">
        <f t="shared" ref="G103:G108" si="12">G102</f>
        <v>60000</v>
      </c>
      <c r="H103" s="547">
        <v>0</v>
      </c>
      <c r="I103" s="548">
        <v>0</v>
      </c>
      <c r="J103" s="548">
        <v>0</v>
      </c>
      <c r="K103" s="549">
        <v>0</v>
      </c>
    </row>
    <row r="104" spans="1:13" outlineLevel="2" x14ac:dyDescent="0.25">
      <c r="A104" s="1318"/>
      <c r="B104" s="1311"/>
      <c r="C104" s="1312"/>
      <c r="D104" s="1311"/>
      <c r="E104" s="68" t="s">
        <v>30</v>
      </c>
      <c r="F104" s="72">
        <f t="shared" si="9"/>
        <v>60000</v>
      </c>
      <c r="G104" s="546">
        <f t="shared" si="12"/>
        <v>60000</v>
      </c>
      <c r="H104" s="547">
        <v>0</v>
      </c>
      <c r="I104" s="548">
        <v>0</v>
      </c>
      <c r="J104" s="548">
        <v>0</v>
      </c>
      <c r="K104" s="549">
        <v>0</v>
      </c>
    </row>
    <row r="105" spans="1:13" outlineLevel="2" x14ac:dyDescent="0.25">
      <c r="A105" s="1318"/>
      <c r="B105" s="1311"/>
      <c r="C105" s="1312"/>
      <c r="D105" s="1311"/>
      <c r="E105" s="68" t="s">
        <v>31</v>
      </c>
      <c r="F105" s="72">
        <f t="shared" si="9"/>
        <v>60000</v>
      </c>
      <c r="G105" s="546">
        <f t="shared" si="12"/>
        <v>60000</v>
      </c>
      <c r="H105" s="547">
        <v>0</v>
      </c>
      <c r="I105" s="548">
        <v>0</v>
      </c>
      <c r="J105" s="548">
        <v>0</v>
      </c>
      <c r="K105" s="549">
        <v>0</v>
      </c>
    </row>
    <row r="106" spans="1:13" outlineLevel="2" x14ac:dyDescent="0.25">
      <c r="A106" s="1318"/>
      <c r="B106" s="1311"/>
      <c r="C106" s="1312"/>
      <c r="D106" s="1311"/>
      <c r="E106" s="68" t="s">
        <v>32</v>
      </c>
      <c r="F106" s="72">
        <f t="shared" si="9"/>
        <v>60000</v>
      </c>
      <c r="G106" s="546">
        <f t="shared" si="12"/>
        <v>60000</v>
      </c>
      <c r="H106" s="547">
        <v>0</v>
      </c>
      <c r="I106" s="548">
        <v>0</v>
      </c>
      <c r="J106" s="548">
        <v>0</v>
      </c>
      <c r="K106" s="549">
        <v>0</v>
      </c>
    </row>
    <row r="107" spans="1:13" outlineLevel="2" x14ac:dyDescent="0.25">
      <c r="A107" s="1318"/>
      <c r="B107" s="1311"/>
      <c r="C107" s="1312"/>
      <c r="D107" s="1311"/>
      <c r="E107" s="68" t="s">
        <v>33</v>
      </c>
      <c r="F107" s="72">
        <f t="shared" si="9"/>
        <v>60000</v>
      </c>
      <c r="G107" s="546">
        <f t="shared" si="12"/>
        <v>60000</v>
      </c>
      <c r="H107" s="547">
        <v>0</v>
      </c>
      <c r="I107" s="548">
        <v>0</v>
      </c>
      <c r="J107" s="548">
        <v>0</v>
      </c>
      <c r="K107" s="549">
        <v>0</v>
      </c>
    </row>
    <row r="108" spans="1:13" ht="15.75" outlineLevel="2" thickBot="1" x14ac:dyDescent="0.3">
      <c r="A108" s="1318"/>
      <c r="B108" s="1311"/>
      <c r="C108" s="1312"/>
      <c r="D108" s="1311"/>
      <c r="E108" s="69" t="s">
        <v>34</v>
      </c>
      <c r="F108" s="73">
        <f t="shared" si="9"/>
        <v>60000</v>
      </c>
      <c r="G108" s="551">
        <f t="shared" si="12"/>
        <v>60000</v>
      </c>
      <c r="H108" s="552">
        <v>0</v>
      </c>
      <c r="I108" s="553">
        <v>0</v>
      </c>
      <c r="J108" s="553">
        <v>0</v>
      </c>
      <c r="K108" s="554">
        <v>0</v>
      </c>
    </row>
    <row r="109" spans="1:13" ht="14.45" customHeight="1" outlineLevel="2" x14ac:dyDescent="0.25">
      <c r="A109" s="1318" t="s">
        <v>353</v>
      </c>
      <c r="B109" s="1311" t="s">
        <v>86</v>
      </c>
      <c r="C109" s="1312" t="s">
        <v>87</v>
      </c>
      <c r="D109" s="1319">
        <v>610</v>
      </c>
      <c r="E109" s="67" t="s">
        <v>25</v>
      </c>
      <c r="F109" s="72">
        <f t="shared" si="9"/>
        <v>0</v>
      </c>
      <c r="G109" s="541">
        <v>0</v>
      </c>
      <c r="H109" s="542">
        <v>0</v>
      </c>
      <c r="I109" s="543">
        <v>0</v>
      </c>
      <c r="J109" s="543">
        <v>0</v>
      </c>
      <c r="K109" s="544">
        <v>0</v>
      </c>
      <c r="M109" t="s">
        <v>995</v>
      </c>
    </row>
    <row r="110" spans="1:13" outlineLevel="2" x14ac:dyDescent="0.25">
      <c r="A110" s="1318"/>
      <c r="B110" s="1311"/>
      <c r="C110" s="1312"/>
      <c r="D110" s="1319"/>
      <c r="E110" s="68" t="s">
        <v>26</v>
      </c>
      <c r="F110" s="72">
        <f t="shared" si="9"/>
        <v>0</v>
      </c>
      <c r="G110" s="546">
        <v>0</v>
      </c>
      <c r="H110" s="547">
        <v>0</v>
      </c>
      <c r="I110" s="548">
        <v>0</v>
      </c>
      <c r="J110" s="548">
        <v>0</v>
      </c>
      <c r="K110" s="549">
        <v>0</v>
      </c>
    </row>
    <row r="111" spans="1:13" outlineLevel="2" x14ac:dyDescent="0.25">
      <c r="A111" s="1318"/>
      <c r="B111" s="1311"/>
      <c r="C111" s="1312"/>
      <c r="D111" s="1319"/>
      <c r="E111" s="68" t="s">
        <v>27</v>
      </c>
      <c r="F111" s="72">
        <f t="shared" ref="F111:F128" si="13">SUM(G111:K111)</f>
        <v>59126.340000000011</v>
      </c>
      <c r="G111" s="546">
        <f>(2*Faktory!$D$7*1.352*150%+Faktory!$D$7*1.352*125%*G$172/$F$172)*12*(1+G$179)/2</f>
        <v>58048.982637967834</v>
      </c>
      <c r="H111" s="546">
        <f>Faktory!$D$7*1.352*125%*12*H$172/$F$172*(1+H$179)/2</f>
        <v>519.7347909293062</v>
      </c>
      <c r="I111" s="546">
        <f>Faktory!$D$7*1.352*125%*12*I$172/$F$172*(1+I$179)/2</f>
        <v>501.0964474568267</v>
      </c>
      <c r="J111" s="546">
        <f>Faktory!$D$7*1.352*125%*12*J$172/$F$172*(1+J$179)/2</f>
        <v>56.526123646044475</v>
      </c>
      <c r="K111" s="546">
        <f t="shared" ref="H111:K118" si="14">K110</f>
        <v>0</v>
      </c>
      <c r="M111" t="s">
        <v>1119</v>
      </c>
    </row>
    <row r="112" spans="1:13" outlineLevel="2" x14ac:dyDescent="0.25">
      <c r="A112" s="1318"/>
      <c r="B112" s="1311"/>
      <c r="C112" s="1312"/>
      <c r="D112" s="1319"/>
      <c r="E112" s="68" t="s">
        <v>28</v>
      </c>
      <c r="F112" s="72">
        <f t="shared" si="13"/>
        <v>118252.68000000002</v>
      </c>
      <c r="G112" s="546">
        <f>G111*2</f>
        <v>116097.96527593567</v>
      </c>
      <c r="H112" s="546">
        <f>H111*2</f>
        <v>1039.4695818586124</v>
      </c>
      <c r="I112" s="546">
        <f>I111*2</f>
        <v>1002.1928949136534</v>
      </c>
      <c r="J112" s="546">
        <f>J111*2</f>
        <v>113.05224729208895</v>
      </c>
      <c r="K112" s="546">
        <f t="shared" si="14"/>
        <v>0</v>
      </c>
    </row>
    <row r="113" spans="1:11" outlineLevel="2" x14ac:dyDescent="0.25">
      <c r="A113" s="1318"/>
      <c r="B113" s="1311"/>
      <c r="C113" s="1312"/>
      <c r="D113" s="1319"/>
      <c r="E113" s="68" t="s">
        <v>29</v>
      </c>
      <c r="F113" s="72">
        <f t="shared" si="13"/>
        <v>118252.68000000002</v>
      </c>
      <c r="G113" s="546">
        <f t="shared" ref="G113:G118" si="15">G112</f>
        <v>116097.96527593567</v>
      </c>
      <c r="H113" s="546">
        <f t="shared" si="14"/>
        <v>1039.4695818586124</v>
      </c>
      <c r="I113" s="546">
        <f t="shared" si="14"/>
        <v>1002.1928949136534</v>
      </c>
      <c r="J113" s="546">
        <f t="shared" si="14"/>
        <v>113.05224729208895</v>
      </c>
      <c r="K113" s="546">
        <f t="shared" si="14"/>
        <v>0</v>
      </c>
    </row>
    <row r="114" spans="1:11" outlineLevel="2" x14ac:dyDescent="0.25">
      <c r="A114" s="1318"/>
      <c r="B114" s="1311"/>
      <c r="C114" s="1312"/>
      <c r="D114" s="1319"/>
      <c r="E114" s="68" t="s">
        <v>30</v>
      </c>
      <c r="F114" s="72">
        <f t="shared" si="13"/>
        <v>118252.68000000002</v>
      </c>
      <c r="G114" s="546">
        <f t="shared" si="15"/>
        <v>116097.96527593567</v>
      </c>
      <c r="H114" s="546">
        <f t="shared" si="14"/>
        <v>1039.4695818586124</v>
      </c>
      <c r="I114" s="546">
        <f t="shared" si="14"/>
        <v>1002.1928949136534</v>
      </c>
      <c r="J114" s="546">
        <f t="shared" si="14"/>
        <v>113.05224729208895</v>
      </c>
      <c r="K114" s="546">
        <f t="shared" si="14"/>
        <v>0</v>
      </c>
    </row>
    <row r="115" spans="1:11" outlineLevel="2" x14ac:dyDescent="0.25">
      <c r="A115" s="1318"/>
      <c r="B115" s="1311"/>
      <c r="C115" s="1312"/>
      <c r="D115" s="1319"/>
      <c r="E115" s="68" t="s">
        <v>31</v>
      </c>
      <c r="F115" s="72">
        <f t="shared" si="13"/>
        <v>118252.68000000002</v>
      </c>
      <c r="G115" s="546">
        <f t="shared" si="15"/>
        <v>116097.96527593567</v>
      </c>
      <c r="H115" s="546">
        <f t="shared" si="14"/>
        <v>1039.4695818586124</v>
      </c>
      <c r="I115" s="546">
        <f t="shared" si="14"/>
        <v>1002.1928949136534</v>
      </c>
      <c r="J115" s="546">
        <f t="shared" si="14"/>
        <v>113.05224729208895</v>
      </c>
      <c r="K115" s="546">
        <f t="shared" si="14"/>
        <v>0</v>
      </c>
    </row>
    <row r="116" spans="1:11" outlineLevel="2" x14ac:dyDescent="0.25">
      <c r="A116" s="1318"/>
      <c r="B116" s="1311"/>
      <c r="C116" s="1312"/>
      <c r="D116" s="1319"/>
      <c r="E116" s="68" t="s">
        <v>32</v>
      </c>
      <c r="F116" s="72">
        <f t="shared" si="13"/>
        <v>118252.68000000002</v>
      </c>
      <c r="G116" s="546">
        <f t="shared" si="15"/>
        <v>116097.96527593567</v>
      </c>
      <c r="H116" s="546">
        <f t="shared" si="14"/>
        <v>1039.4695818586124</v>
      </c>
      <c r="I116" s="546">
        <f t="shared" si="14"/>
        <v>1002.1928949136534</v>
      </c>
      <c r="J116" s="546">
        <f t="shared" si="14"/>
        <v>113.05224729208895</v>
      </c>
      <c r="K116" s="546">
        <f t="shared" si="14"/>
        <v>0</v>
      </c>
    </row>
    <row r="117" spans="1:11" outlineLevel="2" x14ac:dyDescent="0.25">
      <c r="A117" s="1318"/>
      <c r="B117" s="1311"/>
      <c r="C117" s="1312"/>
      <c r="D117" s="1319"/>
      <c r="E117" s="68" t="s">
        <v>33</v>
      </c>
      <c r="F117" s="72">
        <f t="shared" si="13"/>
        <v>118252.68000000002</v>
      </c>
      <c r="G117" s="546">
        <f t="shared" si="15"/>
        <v>116097.96527593567</v>
      </c>
      <c r="H117" s="546">
        <f t="shared" si="14"/>
        <v>1039.4695818586124</v>
      </c>
      <c r="I117" s="546">
        <f t="shared" si="14"/>
        <v>1002.1928949136534</v>
      </c>
      <c r="J117" s="546">
        <f t="shared" si="14"/>
        <v>113.05224729208895</v>
      </c>
      <c r="K117" s="546">
        <f t="shared" si="14"/>
        <v>0</v>
      </c>
    </row>
    <row r="118" spans="1:11" ht="15.75" outlineLevel="2" thickBot="1" x14ac:dyDescent="0.3">
      <c r="A118" s="1318"/>
      <c r="B118" s="1311"/>
      <c r="C118" s="1312"/>
      <c r="D118" s="1319"/>
      <c r="E118" s="69" t="s">
        <v>34</v>
      </c>
      <c r="F118" s="73">
        <f t="shared" si="13"/>
        <v>118252.68000000002</v>
      </c>
      <c r="G118" s="551">
        <f t="shared" si="15"/>
        <v>116097.96527593567</v>
      </c>
      <c r="H118" s="551">
        <f t="shared" si="14"/>
        <v>1039.4695818586124</v>
      </c>
      <c r="I118" s="551">
        <f t="shared" si="14"/>
        <v>1002.1928949136534</v>
      </c>
      <c r="J118" s="551">
        <f t="shared" si="14"/>
        <v>113.05224729208895</v>
      </c>
      <c r="K118" s="551">
        <f t="shared" si="14"/>
        <v>0</v>
      </c>
    </row>
    <row r="119" spans="1:11" outlineLevel="2" x14ac:dyDescent="0.25">
      <c r="A119" s="1318" t="s">
        <v>354</v>
      </c>
      <c r="B119" s="1311" t="s">
        <v>77</v>
      </c>
      <c r="C119" s="1312" t="s">
        <v>78</v>
      </c>
      <c r="D119" s="1311" t="s">
        <v>339</v>
      </c>
      <c r="E119" s="67" t="s">
        <v>25</v>
      </c>
      <c r="F119" s="72">
        <f t="shared" si="13"/>
        <v>0</v>
      </c>
      <c r="G119" s="541">
        <v>0</v>
      </c>
      <c r="H119" s="542">
        <v>0</v>
      </c>
      <c r="I119" s="543">
        <v>0</v>
      </c>
      <c r="J119" s="543">
        <v>0</v>
      </c>
      <c r="K119" s="544">
        <v>0</v>
      </c>
    </row>
    <row r="120" spans="1:11" outlineLevel="2" x14ac:dyDescent="0.25">
      <c r="A120" s="1318"/>
      <c r="B120" s="1311"/>
      <c r="C120" s="1312"/>
      <c r="D120" s="1311"/>
      <c r="E120" s="68" t="s">
        <v>26</v>
      </c>
      <c r="F120" s="72">
        <f t="shared" si="13"/>
        <v>0</v>
      </c>
      <c r="G120" s="546">
        <v>0</v>
      </c>
      <c r="H120" s="547">
        <v>0</v>
      </c>
      <c r="I120" s="548">
        <v>0</v>
      </c>
      <c r="J120" s="548">
        <v>0</v>
      </c>
      <c r="K120" s="549">
        <v>0</v>
      </c>
    </row>
    <row r="121" spans="1:11" outlineLevel="2" x14ac:dyDescent="0.25">
      <c r="A121" s="1318"/>
      <c r="B121" s="1311"/>
      <c r="C121" s="1312"/>
      <c r="D121" s="1311"/>
      <c r="E121" s="68" t="s">
        <v>27</v>
      </c>
      <c r="F121" s="72">
        <f t="shared" si="13"/>
        <v>0</v>
      </c>
      <c r="G121" s="546">
        <v>0</v>
      </c>
      <c r="H121" s="547">
        <v>0</v>
      </c>
      <c r="I121" s="548">
        <v>0</v>
      </c>
      <c r="J121" s="548">
        <v>0</v>
      </c>
      <c r="K121" s="549">
        <v>0</v>
      </c>
    </row>
    <row r="122" spans="1:11" outlineLevel="2" x14ac:dyDescent="0.25">
      <c r="A122" s="1318"/>
      <c r="B122" s="1311"/>
      <c r="C122" s="1312"/>
      <c r="D122" s="1311"/>
      <c r="E122" s="68" t="s">
        <v>28</v>
      </c>
      <c r="F122" s="72">
        <f t="shared" si="13"/>
        <v>0</v>
      </c>
      <c r="G122" s="546">
        <v>0</v>
      </c>
      <c r="H122" s="547">
        <v>0</v>
      </c>
      <c r="I122" s="548">
        <v>0</v>
      </c>
      <c r="J122" s="548">
        <v>0</v>
      </c>
      <c r="K122" s="549">
        <v>0</v>
      </c>
    </row>
    <row r="123" spans="1:11" outlineLevel="2" x14ac:dyDescent="0.25">
      <c r="A123" s="1318"/>
      <c r="B123" s="1311"/>
      <c r="C123" s="1312"/>
      <c r="D123" s="1311"/>
      <c r="E123" s="68" t="s">
        <v>29</v>
      </c>
      <c r="F123" s="72">
        <f t="shared" si="13"/>
        <v>0</v>
      </c>
      <c r="G123" s="546">
        <v>0</v>
      </c>
      <c r="H123" s="547">
        <v>0</v>
      </c>
      <c r="I123" s="548">
        <v>0</v>
      </c>
      <c r="J123" s="548">
        <v>0</v>
      </c>
      <c r="K123" s="549">
        <v>0</v>
      </c>
    </row>
    <row r="124" spans="1:11" outlineLevel="2" x14ac:dyDescent="0.25">
      <c r="A124" s="1318"/>
      <c r="B124" s="1311"/>
      <c r="C124" s="1312"/>
      <c r="D124" s="1311"/>
      <c r="E124" s="68" t="s">
        <v>30</v>
      </c>
      <c r="F124" s="72">
        <f t="shared" si="13"/>
        <v>0</v>
      </c>
      <c r="G124" s="546">
        <v>0</v>
      </c>
      <c r="H124" s="547">
        <v>0</v>
      </c>
      <c r="I124" s="548">
        <v>0</v>
      </c>
      <c r="J124" s="548">
        <v>0</v>
      </c>
      <c r="K124" s="549">
        <v>0</v>
      </c>
    </row>
    <row r="125" spans="1:11" outlineLevel="2" x14ac:dyDescent="0.25">
      <c r="A125" s="1318"/>
      <c r="B125" s="1311"/>
      <c r="C125" s="1312"/>
      <c r="D125" s="1311"/>
      <c r="E125" s="68" t="s">
        <v>31</v>
      </c>
      <c r="F125" s="72">
        <f t="shared" si="13"/>
        <v>0</v>
      </c>
      <c r="G125" s="546">
        <v>0</v>
      </c>
      <c r="H125" s="547">
        <v>0</v>
      </c>
      <c r="I125" s="548">
        <v>0</v>
      </c>
      <c r="J125" s="548">
        <v>0</v>
      </c>
      <c r="K125" s="549">
        <v>0</v>
      </c>
    </row>
    <row r="126" spans="1:11" outlineLevel="2" x14ac:dyDescent="0.25">
      <c r="A126" s="1318"/>
      <c r="B126" s="1311"/>
      <c r="C126" s="1312"/>
      <c r="D126" s="1311"/>
      <c r="E126" s="68" t="s">
        <v>32</v>
      </c>
      <c r="F126" s="72">
        <f t="shared" si="13"/>
        <v>0</v>
      </c>
      <c r="G126" s="546">
        <v>0</v>
      </c>
      <c r="H126" s="547">
        <v>0</v>
      </c>
      <c r="I126" s="548">
        <v>0</v>
      </c>
      <c r="J126" s="548">
        <v>0</v>
      </c>
      <c r="K126" s="549">
        <v>0</v>
      </c>
    </row>
    <row r="127" spans="1:11" outlineLevel="2" x14ac:dyDescent="0.25">
      <c r="A127" s="1318"/>
      <c r="B127" s="1311"/>
      <c r="C127" s="1312"/>
      <c r="D127" s="1311"/>
      <c r="E127" s="68" t="s">
        <v>33</v>
      </c>
      <c r="F127" s="72">
        <f t="shared" si="13"/>
        <v>0</v>
      </c>
      <c r="G127" s="546">
        <v>0</v>
      </c>
      <c r="H127" s="547">
        <v>0</v>
      </c>
      <c r="I127" s="548">
        <v>0</v>
      </c>
      <c r="J127" s="548">
        <v>0</v>
      </c>
      <c r="K127" s="549">
        <v>0</v>
      </c>
    </row>
    <row r="128" spans="1:11" ht="15.75" outlineLevel="2" thickBot="1" x14ac:dyDescent="0.3">
      <c r="A128" s="1318"/>
      <c r="B128" s="1311"/>
      <c r="C128" s="1312"/>
      <c r="D128" s="1311"/>
      <c r="E128" s="69" t="s">
        <v>34</v>
      </c>
      <c r="F128" s="73">
        <f t="shared" si="13"/>
        <v>0</v>
      </c>
      <c r="G128" s="551">
        <v>0</v>
      </c>
      <c r="H128" s="552">
        <v>0</v>
      </c>
      <c r="I128" s="553">
        <v>0</v>
      </c>
      <c r="J128" s="553">
        <v>0</v>
      </c>
      <c r="K128" s="554">
        <v>0</v>
      </c>
    </row>
    <row r="129" spans="1:11" ht="15.75" thickBot="1" x14ac:dyDescent="0.3">
      <c r="A129" s="506" t="s">
        <v>363</v>
      </c>
      <c r="B129" s="17" t="s">
        <v>266</v>
      </c>
      <c r="C129" s="17"/>
      <c r="D129" s="17"/>
      <c r="E129" s="28"/>
      <c r="F129" s="114">
        <f t="shared" ref="F129:K129" si="16">SUM(F130:F149)</f>
        <v>196929.37000000002</v>
      </c>
      <c r="G129" s="560">
        <f t="shared" si="16"/>
        <v>196929.37000000002</v>
      </c>
      <c r="H129" s="560">
        <f t="shared" si="16"/>
        <v>0</v>
      </c>
      <c r="I129" s="561">
        <f t="shared" si="16"/>
        <v>0</v>
      </c>
      <c r="J129" s="561">
        <f t="shared" si="16"/>
        <v>0</v>
      </c>
      <c r="K129" s="562">
        <f t="shared" si="16"/>
        <v>0</v>
      </c>
    </row>
    <row r="130" spans="1:11" x14ac:dyDescent="0.25">
      <c r="A130" s="1318" t="s">
        <v>330</v>
      </c>
      <c r="B130" s="1311" t="s">
        <v>267</v>
      </c>
      <c r="C130" s="1312"/>
      <c r="D130" s="1312"/>
      <c r="E130" s="67" t="s">
        <v>25</v>
      </c>
      <c r="F130" s="71">
        <f t="shared" ref="F130:F149" si="17">SUM(G130:K130)</f>
        <v>76467.748000000007</v>
      </c>
      <c r="G130" s="541">
        <f>GETPIVOTDATA("Sum of Výdavok Rok 1 ",'Prevodník rozpočet na TCO'!$A$3,"Skupina aktivít","Podporná","Názov aktivity2","Riadenie projektu","Skupina  výdavkov","112 - zásoby","Modul mapovanie TCO","Interný agendový informačný systém KSED")+GETPIVOTDATA("Sum of Výdavok Rok 1 ",'Prevodník rozpočet na TCO'!$A$3,"Skupina aktivít","Podporná","Názov aktivity2","Riadenie projektu","Skupina  výdavkov","521 - Mzdové výdavky","Modul mapovanie TCO","Interný agendový informačný systém KSED")+GETPIVOTDATA("Sum of Výdavok Rok 1 ",'Prevodník rozpočet na TCO'!$A$3,"Skupina aktivít","Podporná","Názov aktivity2","Riadenie projektu","Skupina  výdavkov","022 - Samostatné hnuteľné veci a súbory hnuteľných vecí","Modul mapovanie TCO","Interný agendový informačný systém KSED")+GETPIVOTDATA("Sum of Výdavok Rok 1 ",'Prevodník rozpočet na TCO'!$A$3,"Skupina aktivít","Podporná","Názov aktivity2","Riadenie projektu","Skupina  výdavkov","518 - Ostatné
služby","Modul mapovanie TCO","Interný agendový informačný systém KSED")</f>
        <v>76467.748000000007</v>
      </c>
      <c r="H130" s="542">
        <v>0</v>
      </c>
      <c r="I130" s="543">
        <v>0</v>
      </c>
      <c r="J130" s="543">
        <v>0</v>
      </c>
      <c r="K130" s="543">
        <v>0</v>
      </c>
    </row>
    <row r="131" spans="1:11" x14ac:dyDescent="0.25">
      <c r="A131" s="1318"/>
      <c r="B131" s="1311"/>
      <c r="C131" s="1312"/>
      <c r="D131" s="1312"/>
      <c r="E131" s="68" t="s">
        <v>26</v>
      </c>
      <c r="F131" s="72">
        <f t="shared" si="17"/>
        <v>76467.748000000007</v>
      </c>
      <c r="G131" s="546">
        <f>GETPIVOTDATA("Sum of Výdavok Rok 2",'Prevodník rozpočet na TCO'!$A$3,"Skupina aktivít","Podporná","Názov aktivity2","Riadenie projektu","Skupina  výdavkov","112 - zásoby","Modul mapovanie TCO","Interný agendový informačný systém KSED")+GETPIVOTDATA("Sum of Výdavok Rok 2",'Prevodník rozpočet na TCO'!$A$3,"Skupina aktivít","Podporná","Názov aktivity2","Riadenie projektu","Skupina  výdavkov","521 - Mzdové výdavky","Modul mapovanie TCO","Interný agendový informačný systém KSED")+GETPIVOTDATA("Sum of Výdavok Rok 2",'Prevodník rozpočet na TCO'!$A$3,"Skupina aktivít","Podporná","Názov aktivity2","Riadenie projektu","Skupina  výdavkov","022 - Samostatné hnuteľné veci a súbory hnuteľných vecí","Modul mapovanie TCO","Interný agendový informačný systém KSED")+GETPIVOTDATA("Sum of Výdavok Rok 2",'Prevodník rozpočet na TCO'!$A$3,"Skupina aktivít","Podporná","Názov aktivity2","Riadenie projektu","Skupina  výdavkov","518 - Ostatné
služby","Modul mapovanie TCO","Interný agendový informačný systém KSED")</f>
        <v>76467.748000000007</v>
      </c>
      <c r="H131" s="547">
        <v>0</v>
      </c>
      <c r="I131" s="548">
        <v>0</v>
      </c>
      <c r="J131" s="548">
        <v>0</v>
      </c>
      <c r="K131" s="549">
        <v>0</v>
      </c>
    </row>
    <row r="132" spans="1:11" x14ac:dyDescent="0.25">
      <c r="A132" s="1318"/>
      <c r="B132" s="1311"/>
      <c r="C132" s="1312"/>
      <c r="D132" s="1312"/>
      <c r="E132" s="68" t="s">
        <v>27</v>
      </c>
      <c r="F132" s="72">
        <f t="shared" si="17"/>
        <v>43993.874000000003</v>
      </c>
      <c r="G132" s="546">
        <f>GETPIVOTDATA("Sum of Výdavok Rok 3",'Prevodník rozpočet na TCO'!$A$3,"Skupina aktivít","Podporná","Názov aktivity2","Riadenie projektu","Skupina  výdavkov","112 - zásoby","Modul mapovanie TCO","Interný agendový informačný systém KSED")+GETPIVOTDATA("Sum of Výdavok Rok 3",'Prevodník rozpočet na TCO'!$A$3,"Skupina aktivít","Podporná","Názov aktivity2","Riadenie projektu","Skupina  výdavkov","521 - Mzdové výdavky","Modul mapovanie TCO","Interný agendový informačný systém KSED")+GETPIVOTDATA("Sum of Výdavok Rok 3",'Prevodník rozpočet na TCO'!$A$3,"Skupina aktivít","Podporná","Názov aktivity2","Riadenie projektu","Skupina  výdavkov","022 - Samostatné hnuteľné veci a súbory hnuteľných vecí","Modul mapovanie TCO","Interný agendový informačný systém KSED")+GETPIVOTDATA("Sum of Výdavok Rok 3",'Prevodník rozpočet na TCO'!$A$3,"Skupina aktivít","Podporná","Názov aktivity2","Riadenie projektu","Skupina  výdavkov","518 - Ostatné
služby","Modul mapovanie TCO","Interný agendový informačný systém KSED")</f>
        <v>43993.874000000003</v>
      </c>
      <c r="H132" s="547">
        <v>0</v>
      </c>
      <c r="I132" s="548">
        <v>0</v>
      </c>
      <c r="J132" s="548">
        <v>0</v>
      </c>
      <c r="K132" s="549">
        <v>0</v>
      </c>
    </row>
    <row r="133" spans="1:11" x14ac:dyDescent="0.25">
      <c r="A133" s="1318"/>
      <c r="B133" s="1311"/>
      <c r="C133" s="1312"/>
      <c r="D133" s="1312"/>
      <c r="E133" s="68" t="s">
        <v>28</v>
      </c>
      <c r="F133" s="72">
        <f t="shared" si="17"/>
        <v>0</v>
      </c>
      <c r="G133" s="546">
        <v>0</v>
      </c>
      <c r="H133" s="547">
        <v>0</v>
      </c>
      <c r="I133" s="548">
        <v>0</v>
      </c>
      <c r="J133" s="548">
        <v>0</v>
      </c>
      <c r="K133" s="549">
        <v>0</v>
      </c>
    </row>
    <row r="134" spans="1:11" x14ac:dyDescent="0.25">
      <c r="A134" s="1318"/>
      <c r="B134" s="1311"/>
      <c r="C134" s="1312"/>
      <c r="D134" s="1312"/>
      <c r="E134" s="68" t="s">
        <v>29</v>
      </c>
      <c r="F134" s="72">
        <f t="shared" si="17"/>
        <v>0</v>
      </c>
      <c r="G134" s="546">
        <v>0</v>
      </c>
      <c r="H134" s="547">
        <v>0</v>
      </c>
      <c r="I134" s="548">
        <v>0</v>
      </c>
      <c r="J134" s="548">
        <v>0</v>
      </c>
      <c r="K134" s="549">
        <v>0</v>
      </c>
    </row>
    <row r="135" spans="1:11" x14ac:dyDescent="0.25">
      <c r="A135" s="1318"/>
      <c r="B135" s="1311"/>
      <c r="C135" s="1312"/>
      <c r="D135" s="1312"/>
      <c r="E135" s="68" t="s">
        <v>30</v>
      </c>
      <c r="F135" s="72">
        <f t="shared" si="17"/>
        <v>0</v>
      </c>
      <c r="G135" s="546">
        <v>0</v>
      </c>
      <c r="H135" s="547">
        <v>0</v>
      </c>
      <c r="I135" s="548">
        <v>0</v>
      </c>
      <c r="J135" s="548">
        <v>0</v>
      </c>
      <c r="K135" s="549">
        <v>0</v>
      </c>
    </row>
    <row r="136" spans="1:11" x14ac:dyDescent="0.25">
      <c r="A136" s="1318"/>
      <c r="B136" s="1311"/>
      <c r="C136" s="1312"/>
      <c r="D136" s="1312"/>
      <c r="E136" s="68" t="s">
        <v>31</v>
      </c>
      <c r="F136" s="72">
        <f t="shared" si="17"/>
        <v>0</v>
      </c>
      <c r="G136" s="546">
        <v>0</v>
      </c>
      <c r="H136" s="547">
        <v>0</v>
      </c>
      <c r="I136" s="548">
        <v>0</v>
      </c>
      <c r="J136" s="548">
        <v>0</v>
      </c>
      <c r="K136" s="549">
        <v>0</v>
      </c>
    </row>
    <row r="137" spans="1:11" x14ac:dyDescent="0.25">
      <c r="A137" s="1318"/>
      <c r="B137" s="1311"/>
      <c r="C137" s="1312"/>
      <c r="D137" s="1312"/>
      <c r="E137" s="68" t="s">
        <v>32</v>
      </c>
      <c r="F137" s="72">
        <f t="shared" si="17"/>
        <v>0</v>
      </c>
      <c r="G137" s="546">
        <v>0</v>
      </c>
      <c r="H137" s="547">
        <v>0</v>
      </c>
      <c r="I137" s="548">
        <v>0</v>
      </c>
      <c r="J137" s="548">
        <v>0</v>
      </c>
      <c r="K137" s="549">
        <v>0</v>
      </c>
    </row>
    <row r="138" spans="1:11" x14ac:dyDescent="0.25">
      <c r="A138" s="1318"/>
      <c r="B138" s="1311"/>
      <c r="C138" s="1312"/>
      <c r="D138" s="1312"/>
      <c r="E138" s="68" t="s">
        <v>33</v>
      </c>
      <c r="F138" s="72">
        <f t="shared" si="17"/>
        <v>0</v>
      </c>
      <c r="G138" s="546">
        <v>0</v>
      </c>
      <c r="H138" s="547">
        <v>0</v>
      </c>
      <c r="I138" s="548">
        <v>0</v>
      </c>
      <c r="J138" s="548">
        <v>0</v>
      </c>
      <c r="K138" s="549">
        <v>0</v>
      </c>
    </row>
    <row r="139" spans="1:11" ht="15.75" thickBot="1" x14ac:dyDescent="0.3">
      <c r="A139" s="1318"/>
      <c r="B139" s="1311"/>
      <c r="C139" s="1312"/>
      <c r="D139" s="1312"/>
      <c r="E139" s="69" t="s">
        <v>34</v>
      </c>
      <c r="F139" s="73">
        <f t="shared" si="17"/>
        <v>0</v>
      </c>
      <c r="G139" s="551">
        <v>0</v>
      </c>
      <c r="H139" s="552">
        <v>0</v>
      </c>
      <c r="I139" s="553">
        <v>0</v>
      </c>
      <c r="J139" s="553">
        <v>0</v>
      </c>
      <c r="K139" s="554">
        <v>0</v>
      </c>
    </row>
    <row r="140" spans="1:11" x14ac:dyDescent="0.25">
      <c r="A140" s="1318" t="s">
        <v>331</v>
      </c>
      <c r="B140" s="1311" t="s">
        <v>147</v>
      </c>
      <c r="C140" s="1312"/>
      <c r="D140" s="1311" t="s">
        <v>355</v>
      </c>
      <c r="E140" s="67" t="s">
        <v>25</v>
      </c>
      <c r="F140" s="72">
        <f t="shared" si="17"/>
        <v>0</v>
      </c>
      <c r="G140" s="541">
        <f>GETPIVOTDATA("Sum of Výdavok Rok 1 ",'Prevodník rozpočet na TCO'!$A$3,"Skupina aktivít","Podporná","Názov aktivity2","Publicita a informovanosť","Skupina  výdavkov","521 - Mzdové výdavky","Modul mapovanie TCO","Interný agendový informačný systém KSED")+GETPIVOTDATA("Sum of Výdavok Rok 1 ",'Prevodník rozpočet na TCO'!$A$3,"Skupina aktivít","Podporná","Názov aktivity2","Publicita a informovanosť","Skupina  výdavkov","518 - Ostatné
služby","Modul mapovanie TCO","Interný agendový informačný systém KSED")</f>
        <v>0</v>
      </c>
      <c r="H140" s="542">
        <v>0</v>
      </c>
      <c r="I140" s="543">
        <v>0</v>
      </c>
      <c r="J140" s="543">
        <v>0</v>
      </c>
      <c r="K140" s="543">
        <v>0</v>
      </c>
    </row>
    <row r="141" spans="1:11" x14ac:dyDescent="0.25">
      <c r="A141" s="1318"/>
      <c r="B141" s="1311"/>
      <c r="C141" s="1312"/>
      <c r="D141" s="1311"/>
      <c r="E141" s="68" t="s">
        <v>26</v>
      </c>
      <c r="F141" s="72">
        <f t="shared" si="17"/>
        <v>0</v>
      </c>
      <c r="G141" s="546">
        <f>GETPIVOTDATA("Sum of Výdavok Rok 2",'Prevodník rozpočet na TCO'!$A$3,"Skupina aktivít","Podporná","Názov aktivity2","Publicita a informovanosť","Skupina  výdavkov","521 - Mzdové výdavky","Modul mapovanie TCO","Interný agendový informačný systém KSED")+GETPIVOTDATA("Sum of Výdavok Rok 2",'Prevodník rozpočet na TCO'!$A$3,"Skupina aktivít","Podporná","Názov aktivity2","Publicita a informovanosť","Skupina  výdavkov","518 - Ostatné
služby","Modul mapovanie TCO","Interný agendový informačný systém KSED")</f>
        <v>0</v>
      </c>
      <c r="H141" s="547">
        <v>0</v>
      </c>
      <c r="I141" s="548">
        <v>0</v>
      </c>
      <c r="J141" s="548">
        <v>0</v>
      </c>
      <c r="K141" s="549">
        <v>0</v>
      </c>
    </row>
    <row r="142" spans="1:11" x14ac:dyDescent="0.25">
      <c r="A142" s="1318"/>
      <c r="B142" s="1311"/>
      <c r="C142" s="1312"/>
      <c r="D142" s="1311"/>
      <c r="E142" s="68" t="s">
        <v>27</v>
      </c>
      <c r="F142" s="72">
        <f t="shared" si="17"/>
        <v>0</v>
      </c>
      <c r="G142" s="546">
        <v>0</v>
      </c>
      <c r="H142" s="547">
        <v>0</v>
      </c>
      <c r="I142" s="548">
        <v>0</v>
      </c>
      <c r="J142" s="548">
        <v>0</v>
      </c>
      <c r="K142" s="549">
        <v>0</v>
      </c>
    </row>
    <row r="143" spans="1:11" x14ac:dyDescent="0.25">
      <c r="A143" s="1318"/>
      <c r="B143" s="1311"/>
      <c r="C143" s="1312"/>
      <c r="D143" s="1311"/>
      <c r="E143" s="68" t="s">
        <v>28</v>
      </c>
      <c r="F143" s="72">
        <f t="shared" si="17"/>
        <v>0</v>
      </c>
      <c r="G143" s="546">
        <v>0</v>
      </c>
      <c r="H143" s="547">
        <v>0</v>
      </c>
      <c r="I143" s="548">
        <v>0</v>
      </c>
      <c r="J143" s="548">
        <v>0</v>
      </c>
      <c r="K143" s="549">
        <v>0</v>
      </c>
    </row>
    <row r="144" spans="1:11" x14ac:dyDescent="0.25">
      <c r="A144" s="1318"/>
      <c r="B144" s="1311"/>
      <c r="C144" s="1312"/>
      <c r="D144" s="1311"/>
      <c r="E144" s="68" t="s">
        <v>29</v>
      </c>
      <c r="F144" s="72">
        <f t="shared" si="17"/>
        <v>0</v>
      </c>
      <c r="G144" s="546">
        <v>0</v>
      </c>
      <c r="H144" s="547">
        <v>0</v>
      </c>
      <c r="I144" s="548">
        <v>0</v>
      </c>
      <c r="J144" s="548">
        <v>0</v>
      </c>
      <c r="K144" s="549">
        <v>0</v>
      </c>
    </row>
    <row r="145" spans="1:11" x14ac:dyDescent="0.25">
      <c r="A145" s="1318"/>
      <c r="B145" s="1311"/>
      <c r="C145" s="1312"/>
      <c r="D145" s="1311"/>
      <c r="E145" s="68" t="s">
        <v>30</v>
      </c>
      <c r="F145" s="72">
        <f t="shared" si="17"/>
        <v>0</v>
      </c>
      <c r="G145" s="546">
        <v>0</v>
      </c>
      <c r="H145" s="547">
        <v>0</v>
      </c>
      <c r="I145" s="548">
        <v>0</v>
      </c>
      <c r="J145" s="548">
        <v>0</v>
      </c>
      <c r="K145" s="549">
        <v>0</v>
      </c>
    </row>
    <row r="146" spans="1:11" x14ac:dyDescent="0.25">
      <c r="A146" s="1318"/>
      <c r="B146" s="1311"/>
      <c r="C146" s="1312"/>
      <c r="D146" s="1311"/>
      <c r="E146" s="68" t="s">
        <v>31</v>
      </c>
      <c r="F146" s="72">
        <f t="shared" si="17"/>
        <v>0</v>
      </c>
      <c r="G146" s="546">
        <v>0</v>
      </c>
      <c r="H146" s="547">
        <v>0</v>
      </c>
      <c r="I146" s="548">
        <v>0</v>
      </c>
      <c r="J146" s="548">
        <v>0</v>
      </c>
      <c r="K146" s="549">
        <v>0</v>
      </c>
    </row>
    <row r="147" spans="1:11" x14ac:dyDescent="0.25">
      <c r="A147" s="1318"/>
      <c r="B147" s="1311"/>
      <c r="C147" s="1312"/>
      <c r="D147" s="1311"/>
      <c r="E147" s="68" t="s">
        <v>32</v>
      </c>
      <c r="F147" s="72">
        <f t="shared" si="17"/>
        <v>0</v>
      </c>
      <c r="G147" s="546">
        <v>0</v>
      </c>
      <c r="H147" s="547">
        <v>0</v>
      </c>
      <c r="I147" s="548">
        <v>0</v>
      </c>
      <c r="J147" s="548">
        <v>0</v>
      </c>
      <c r="K147" s="549">
        <v>0</v>
      </c>
    </row>
    <row r="148" spans="1:11" x14ac:dyDescent="0.25">
      <c r="A148" s="1318"/>
      <c r="B148" s="1311"/>
      <c r="C148" s="1312"/>
      <c r="D148" s="1311"/>
      <c r="E148" s="68" t="s">
        <v>33</v>
      </c>
      <c r="F148" s="72">
        <f t="shared" si="17"/>
        <v>0</v>
      </c>
      <c r="G148" s="546">
        <v>0</v>
      </c>
      <c r="H148" s="547">
        <v>0</v>
      </c>
      <c r="I148" s="548">
        <v>0</v>
      </c>
      <c r="J148" s="548">
        <v>0</v>
      </c>
      <c r="K148" s="549">
        <v>0</v>
      </c>
    </row>
    <row r="149" spans="1:11" ht="15.75" thickBot="1" x14ac:dyDescent="0.3">
      <c r="A149" s="1318"/>
      <c r="B149" s="1311"/>
      <c r="C149" s="1312"/>
      <c r="D149" s="1311"/>
      <c r="E149" s="69" t="s">
        <v>34</v>
      </c>
      <c r="F149" s="73">
        <f t="shared" si="17"/>
        <v>0</v>
      </c>
      <c r="G149" s="551">
        <v>0</v>
      </c>
      <c r="H149" s="552">
        <v>0</v>
      </c>
      <c r="I149" s="553">
        <v>0</v>
      </c>
      <c r="J149" s="553">
        <v>0</v>
      </c>
      <c r="K149" s="554">
        <v>0</v>
      </c>
    </row>
    <row r="150" spans="1:11" ht="15.75" thickBot="1" x14ac:dyDescent="0.3">
      <c r="A150" s="506" t="s">
        <v>364</v>
      </c>
      <c r="B150" s="1315" t="s">
        <v>288</v>
      </c>
      <c r="C150" s="1316"/>
      <c r="D150" s="1316"/>
      <c r="E150" s="79"/>
      <c r="F150" s="77">
        <f t="shared" ref="F150:K150" si="18">SUM(F151:F170)</f>
        <v>0</v>
      </c>
      <c r="G150" s="519">
        <f t="shared" si="18"/>
        <v>0</v>
      </c>
      <c r="H150" s="519">
        <f t="shared" si="18"/>
        <v>0</v>
      </c>
      <c r="I150" s="520">
        <f t="shared" si="18"/>
        <v>0</v>
      </c>
      <c r="J150" s="520">
        <f t="shared" si="18"/>
        <v>0</v>
      </c>
      <c r="K150" s="521">
        <f t="shared" si="18"/>
        <v>0</v>
      </c>
    </row>
    <row r="151" spans="1:11" x14ac:dyDescent="0.25">
      <c r="A151" s="1318" t="s">
        <v>332</v>
      </c>
      <c r="B151" s="1311" t="s">
        <v>290</v>
      </c>
      <c r="C151" s="1312" t="s">
        <v>78</v>
      </c>
      <c r="D151" s="1312" t="s">
        <v>338</v>
      </c>
      <c r="E151" s="67" t="s">
        <v>25</v>
      </c>
      <c r="F151" s="64">
        <f t="shared" ref="F151:F170" si="19">SUM(G151:K151)</f>
        <v>0</v>
      </c>
      <c r="G151" s="523">
        <v>0</v>
      </c>
      <c r="H151" s="524">
        <v>0</v>
      </c>
      <c r="I151" s="525">
        <v>0</v>
      </c>
      <c r="J151" s="525">
        <v>0</v>
      </c>
      <c r="K151" s="526">
        <v>0</v>
      </c>
    </row>
    <row r="152" spans="1:11" x14ac:dyDescent="0.25">
      <c r="A152" s="1318"/>
      <c r="B152" s="1311"/>
      <c r="C152" s="1312"/>
      <c r="D152" s="1312"/>
      <c r="E152" s="68" t="s">
        <v>26</v>
      </c>
      <c r="F152" s="65">
        <f t="shared" si="19"/>
        <v>0</v>
      </c>
      <c r="G152" s="528">
        <v>0</v>
      </c>
      <c r="H152" s="529">
        <v>0</v>
      </c>
      <c r="I152" s="530">
        <v>0</v>
      </c>
      <c r="J152" s="530">
        <v>0</v>
      </c>
      <c r="K152" s="531">
        <v>0</v>
      </c>
    </row>
    <row r="153" spans="1:11" x14ac:dyDescent="0.25">
      <c r="A153" s="1318"/>
      <c r="B153" s="1311"/>
      <c r="C153" s="1312"/>
      <c r="D153" s="1312"/>
      <c r="E153" s="68" t="s">
        <v>27</v>
      </c>
      <c r="F153" s="65">
        <f t="shared" si="19"/>
        <v>0</v>
      </c>
      <c r="G153" s="528">
        <v>0</v>
      </c>
      <c r="H153" s="529">
        <v>0</v>
      </c>
      <c r="I153" s="530">
        <v>0</v>
      </c>
      <c r="J153" s="530">
        <v>0</v>
      </c>
      <c r="K153" s="531">
        <v>0</v>
      </c>
    </row>
    <row r="154" spans="1:11" x14ac:dyDescent="0.25">
      <c r="A154" s="1318"/>
      <c r="B154" s="1311"/>
      <c r="C154" s="1312"/>
      <c r="D154" s="1312"/>
      <c r="E154" s="68" t="s">
        <v>28</v>
      </c>
      <c r="F154" s="65">
        <f t="shared" si="19"/>
        <v>0</v>
      </c>
      <c r="G154" s="528">
        <v>0</v>
      </c>
      <c r="H154" s="529">
        <v>0</v>
      </c>
      <c r="I154" s="530">
        <v>0</v>
      </c>
      <c r="J154" s="530">
        <v>0</v>
      </c>
      <c r="K154" s="531">
        <v>0</v>
      </c>
    </row>
    <row r="155" spans="1:11" x14ac:dyDescent="0.25">
      <c r="A155" s="1318"/>
      <c r="B155" s="1311"/>
      <c r="C155" s="1312"/>
      <c r="D155" s="1312"/>
      <c r="E155" s="68" t="s">
        <v>29</v>
      </c>
      <c r="F155" s="65">
        <f t="shared" si="19"/>
        <v>0</v>
      </c>
      <c r="G155" s="528">
        <v>0</v>
      </c>
      <c r="H155" s="529">
        <v>0</v>
      </c>
      <c r="I155" s="530">
        <v>0</v>
      </c>
      <c r="J155" s="530">
        <v>0</v>
      </c>
      <c r="K155" s="531">
        <v>0</v>
      </c>
    </row>
    <row r="156" spans="1:11" x14ac:dyDescent="0.25">
      <c r="A156" s="1318"/>
      <c r="B156" s="1311"/>
      <c r="C156" s="1312"/>
      <c r="D156" s="1312"/>
      <c r="E156" s="68" t="s">
        <v>30</v>
      </c>
      <c r="F156" s="65">
        <f t="shared" si="19"/>
        <v>0</v>
      </c>
      <c r="G156" s="528">
        <v>0</v>
      </c>
      <c r="H156" s="529">
        <v>0</v>
      </c>
      <c r="I156" s="530">
        <v>0</v>
      </c>
      <c r="J156" s="530">
        <v>0</v>
      </c>
      <c r="K156" s="531">
        <v>0</v>
      </c>
    </row>
    <row r="157" spans="1:11" x14ac:dyDescent="0.25">
      <c r="A157" s="1318"/>
      <c r="B157" s="1311"/>
      <c r="C157" s="1312"/>
      <c r="D157" s="1312"/>
      <c r="E157" s="68" t="s">
        <v>31</v>
      </c>
      <c r="F157" s="65">
        <f t="shared" si="19"/>
        <v>0</v>
      </c>
      <c r="G157" s="528">
        <v>0</v>
      </c>
      <c r="H157" s="529">
        <v>0</v>
      </c>
      <c r="I157" s="530">
        <v>0</v>
      </c>
      <c r="J157" s="530">
        <v>0</v>
      </c>
      <c r="K157" s="531">
        <v>0</v>
      </c>
    </row>
    <row r="158" spans="1:11" x14ac:dyDescent="0.25">
      <c r="A158" s="1318"/>
      <c r="B158" s="1311"/>
      <c r="C158" s="1312"/>
      <c r="D158" s="1312"/>
      <c r="E158" s="68" t="s">
        <v>32</v>
      </c>
      <c r="F158" s="65">
        <f t="shared" si="19"/>
        <v>0</v>
      </c>
      <c r="G158" s="528">
        <v>0</v>
      </c>
      <c r="H158" s="529">
        <v>0</v>
      </c>
      <c r="I158" s="530">
        <v>0</v>
      </c>
      <c r="J158" s="530">
        <v>0</v>
      </c>
      <c r="K158" s="531">
        <v>0</v>
      </c>
    </row>
    <row r="159" spans="1:11" x14ac:dyDescent="0.25">
      <c r="A159" s="1318"/>
      <c r="B159" s="1311"/>
      <c r="C159" s="1312"/>
      <c r="D159" s="1312"/>
      <c r="E159" s="68" t="s">
        <v>33</v>
      </c>
      <c r="F159" s="65">
        <f t="shared" si="19"/>
        <v>0</v>
      </c>
      <c r="G159" s="528">
        <v>0</v>
      </c>
      <c r="H159" s="529">
        <v>0</v>
      </c>
      <c r="I159" s="530">
        <v>0</v>
      </c>
      <c r="J159" s="530">
        <v>0</v>
      </c>
      <c r="K159" s="531">
        <v>0</v>
      </c>
    </row>
    <row r="160" spans="1:11" ht="15.75" thickBot="1" x14ac:dyDescent="0.3">
      <c r="A160" s="1318"/>
      <c r="B160" s="1311"/>
      <c r="C160" s="1312"/>
      <c r="D160" s="1312"/>
      <c r="E160" s="69" t="s">
        <v>34</v>
      </c>
      <c r="F160" s="66">
        <f t="shared" si="19"/>
        <v>0</v>
      </c>
      <c r="G160" s="532">
        <v>0</v>
      </c>
      <c r="H160" s="533">
        <v>0</v>
      </c>
      <c r="I160" s="534">
        <v>0</v>
      </c>
      <c r="J160" s="534">
        <v>0</v>
      </c>
      <c r="K160" s="535">
        <v>0</v>
      </c>
    </row>
    <row r="161" spans="1:11" x14ac:dyDescent="0.25">
      <c r="A161" s="1318" t="s">
        <v>333</v>
      </c>
      <c r="B161" s="1311" t="s">
        <v>289</v>
      </c>
      <c r="C161" s="1312"/>
      <c r="D161" s="1311" t="s">
        <v>356</v>
      </c>
      <c r="E161" s="67" t="s">
        <v>25</v>
      </c>
      <c r="F161" s="65">
        <f t="shared" si="19"/>
        <v>0</v>
      </c>
      <c r="G161" s="523">
        <v>0</v>
      </c>
      <c r="H161" s="524">
        <v>0</v>
      </c>
      <c r="I161" s="525">
        <v>0</v>
      </c>
      <c r="J161" s="525">
        <v>0</v>
      </c>
      <c r="K161" s="526">
        <v>0</v>
      </c>
    </row>
    <row r="162" spans="1:11" x14ac:dyDescent="0.25">
      <c r="A162" s="1318"/>
      <c r="B162" s="1311"/>
      <c r="C162" s="1312"/>
      <c r="D162" s="1311"/>
      <c r="E162" s="68" t="s">
        <v>26</v>
      </c>
      <c r="F162" s="65">
        <f t="shared" si="19"/>
        <v>0</v>
      </c>
      <c r="G162" s="528">
        <v>0</v>
      </c>
      <c r="H162" s="529">
        <v>0</v>
      </c>
      <c r="I162" s="530">
        <v>0</v>
      </c>
      <c r="J162" s="530">
        <v>0</v>
      </c>
      <c r="K162" s="531">
        <v>0</v>
      </c>
    </row>
    <row r="163" spans="1:11" x14ac:dyDescent="0.25">
      <c r="A163" s="1318"/>
      <c r="B163" s="1311"/>
      <c r="C163" s="1312"/>
      <c r="D163" s="1311"/>
      <c r="E163" s="68" t="s">
        <v>27</v>
      </c>
      <c r="F163" s="65">
        <f t="shared" si="19"/>
        <v>0</v>
      </c>
      <c r="G163" s="528">
        <v>0</v>
      </c>
      <c r="H163" s="529">
        <v>0</v>
      </c>
      <c r="I163" s="530">
        <v>0</v>
      </c>
      <c r="J163" s="530">
        <v>0</v>
      </c>
      <c r="K163" s="531">
        <v>0</v>
      </c>
    </row>
    <row r="164" spans="1:11" x14ac:dyDescent="0.25">
      <c r="A164" s="1318"/>
      <c r="B164" s="1311"/>
      <c r="C164" s="1312"/>
      <c r="D164" s="1311"/>
      <c r="E164" s="68" t="s">
        <v>28</v>
      </c>
      <c r="F164" s="65">
        <f t="shared" si="19"/>
        <v>0</v>
      </c>
      <c r="G164" s="528">
        <v>0</v>
      </c>
      <c r="H164" s="529">
        <v>0</v>
      </c>
      <c r="I164" s="530">
        <v>0</v>
      </c>
      <c r="J164" s="530">
        <v>0</v>
      </c>
      <c r="K164" s="531">
        <v>0</v>
      </c>
    </row>
    <row r="165" spans="1:11" x14ac:dyDescent="0.25">
      <c r="A165" s="1318"/>
      <c r="B165" s="1311"/>
      <c r="C165" s="1312"/>
      <c r="D165" s="1311"/>
      <c r="E165" s="68" t="s">
        <v>29</v>
      </c>
      <c r="F165" s="65">
        <f t="shared" si="19"/>
        <v>0</v>
      </c>
      <c r="G165" s="528">
        <v>0</v>
      </c>
      <c r="H165" s="529">
        <v>0</v>
      </c>
      <c r="I165" s="530">
        <v>0</v>
      </c>
      <c r="J165" s="530">
        <v>0</v>
      </c>
      <c r="K165" s="531">
        <v>0</v>
      </c>
    </row>
    <row r="166" spans="1:11" x14ac:dyDescent="0.25">
      <c r="A166" s="1318"/>
      <c r="B166" s="1311"/>
      <c r="C166" s="1312"/>
      <c r="D166" s="1311"/>
      <c r="E166" s="68" t="s">
        <v>30</v>
      </c>
      <c r="F166" s="65">
        <f t="shared" si="19"/>
        <v>0</v>
      </c>
      <c r="G166" s="528">
        <v>0</v>
      </c>
      <c r="H166" s="529">
        <v>0</v>
      </c>
      <c r="I166" s="530">
        <v>0</v>
      </c>
      <c r="J166" s="530">
        <v>0</v>
      </c>
      <c r="K166" s="531">
        <v>0</v>
      </c>
    </row>
    <row r="167" spans="1:11" x14ac:dyDescent="0.25">
      <c r="A167" s="1318"/>
      <c r="B167" s="1311"/>
      <c r="C167" s="1312"/>
      <c r="D167" s="1311"/>
      <c r="E167" s="68" t="s">
        <v>31</v>
      </c>
      <c r="F167" s="65">
        <f t="shared" si="19"/>
        <v>0</v>
      </c>
      <c r="G167" s="528">
        <v>0</v>
      </c>
      <c r="H167" s="529">
        <v>0</v>
      </c>
      <c r="I167" s="530">
        <v>0</v>
      </c>
      <c r="J167" s="530">
        <v>0</v>
      </c>
      <c r="K167" s="531">
        <v>0</v>
      </c>
    </row>
    <row r="168" spans="1:11" x14ac:dyDescent="0.25">
      <c r="A168" s="1318"/>
      <c r="B168" s="1311"/>
      <c r="C168" s="1312"/>
      <c r="D168" s="1311"/>
      <c r="E168" s="68" t="s">
        <v>32</v>
      </c>
      <c r="F168" s="65">
        <f t="shared" si="19"/>
        <v>0</v>
      </c>
      <c r="G168" s="528">
        <v>0</v>
      </c>
      <c r="H168" s="529">
        <v>0</v>
      </c>
      <c r="I168" s="530">
        <v>0</v>
      </c>
      <c r="J168" s="530">
        <v>0</v>
      </c>
      <c r="K168" s="531">
        <v>0</v>
      </c>
    </row>
    <row r="169" spans="1:11" x14ac:dyDescent="0.25">
      <c r="A169" s="1318"/>
      <c r="B169" s="1311"/>
      <c r="C169" s="1312"/>
      <c r="D169" s="1311"/>
      <c r="E169" s="68" t="s">
        <v>33</v>
      </c>
      <c r="F169" s="65">
        <f t="shared" si="19"/>
        <v>0</v>
      </c>
      <c r="G169" s="528">
        <v>0</v>
      </c>
      <c r="H169" s="529">
        <v>0</v>
      </c>
      <c r="I169" s="530">
        <v>0</v>
      </c>
      <c r="J169" s="530">
        <v>0</v>
      </c>
      <c r="K169" s="531">
        <v>0</v>
      </c>
    </row>
    <row r="170" spans="1:11" ht="15.75" thickBot="1" x14ac:dyDescent="0.3">
      <c r="A170" s="1318"/>
      <c r="B170" s="1311"/>
      <c r="C170" s="1312"/>
      <c r="D170" s="1311"/>
      <c r="E170" s="69" t="s">
        <v>34</v>
      </c>
      <c r="F170" s="66">
        <f t="shared" si="19"/>
        <v>0</v>
      </c>
      <c r="G170" s="532">
        <v>0</v>
      </c>
      <c r="H170" s="533">
        <v>0</v>
      </c>
      <c r="I170" s="534">
        <v>0</v>
      </c>
      <c r="J170" s="534">
        <v>0</v>
      </c>
      <c r="K170" s="535">
        <v>0</v>
      </c>
    </row>
    <row r="172" spans="1:11" x14ac:dyDescent="0.25">
      <c r="A172" s="506" t="s">
        <v>324</v>
      </c>
      <c r="B172" t="s">
        <v>116</v>
      </c>
      <c r="E172" s="570">
        <f>SUM(G172:J172)</f>
        <v>3414883.2</v>
      </c>
      <c r="F172" s="570">
        <f t="shared" ref="F172:K172" si="20">F3</f>
        <v>3414883.2</v>
      </c>
      <c r="G172" s="570">
        <f t="shared" si="20"/>
        <v>3203323.2</v>
      </c>
      <c r="H172" s="570">
        <f t="shared" si="20"/>
        <v>102060</v>
      </c>
      <c r="I172" s="570">
        <f t="shared" si="20"/>
        <v>98400</v>
      </c>
      <c r="J172" s="570">
        <f t="shared" si="20"/>
        <v>11100</v>
      </c>
      <c r="K172" s="570">
        <f t="shared" si="20"/>
        <v>0</v>
      </c>
    </row>
    <row r="173" spans="1:11" x14ac:dyDescent="0.25">
      <c r="A173" s="506" t="s">
        <v>327</v>
      </c>
      <c r="B173" t="s">
        <v>79</v>
      </c>
      <c r="E173" s="570">
        <f>SUM(G173:J173)</f>
        <v>2756627.4600000009</v>
      </c>
      <c r="F173" s="570">
        <f>F56</f>
        <v>2756627.4600000009</v>
      </c>
      <c r="G173" s="570">
        <f t="shared" ref="G173:K173" si="21">G56</f>
        <v>2740467.0995695181</v>
      </c>
      <c r="H173" s="570">
        <f t="shared" si="21"/>
        <v>7796.0218639395925</v>
      </c>
      <c r="I173" s="570">
        <f t="shared" si="21"/>
        <v>7516.4467118524017</v>
      </c>
      <c r="J173" s="570">
        <f t="shared" si="21"/>
        <v>847.89185469066717</v>
      </c>
      <c r="K173" s="570">
        <f t="shared" si="21"/>
        <v>0</v>
      </c>
    </row>
    <row r="174" spans="1:11" x14ac:dyDescent="0.25">
      <c r="A174" s="506" t="s">
        <v>363</v>
      </c>
      <c r="B174" t="s">
        <v>266</v>
      </c>
      <c r="E174" s="570">
        <f>SUM(G174:J174)</f>
        <v>196929.37000000002</v>
      </c>
      <c r="F174" s="570">
        <f>F129</f>
        <v>196929.37000000002</v>
      </c>
      <c r="G174" s="570">
        <f t="shared" ref="G174:K174" si="22">G129</f>
        <v>196929.37000000002</v>
      </c>
      <c r="H174" s="570">
        <f t="shared" si="22"/>
        <v>0</v>
      </c>
      <c r="I174" s="570">
        <f t="shared" si="22"/>
        <v>0</v>
      </c>
      <c r="J174" s="570">
        <f t="shared" si="22"/>
        <v>0</v>
      </c>
      <c r="K174" s="570">
        <f t="shared" si="22"/>
        <v>0</v>
      </c>
    </row>
    <row r="175" spans="1:11" x14ac:dyDescent="0.25">
      <c r="A175" s="506" t="s">
        <v>364</v>
      </c>
      <c r="B175" t="s">
        <v>288</v>
      </c>
      <c r="E175" s="570">
        <f>SUM(G175:J175)</f>
        <v>0</v>
      </c>
      <c r="F175" s="570">
        <f>F150</f>
        <v>0</v>
      </c>
      <c r="G175" s="570">
        <f t="shared" ref="G175:K175" si="23">G150</f>
        <v>0</v>
      </c>
      <c r="H175" s="570">
        <f t="shared" si="23"/>
        <v>0</v>
      </c>
      <c r="I175" s="570">
        <f t="shared" si="23"/>
        <v>0</v>
      </c>
      <c r="J175" s="570">
        <f t="shared" si="23"/>
        <v>0</v>
      </c>
      <c r="K175" s="570">
        <f t="shared" si="23"/>
        <v>0</v>
      </c>
    </row>
    <row r="176" spans="1:11" x14ac:dyDescent="0.25">
      <c r="E176" s="570">
        <f>SUM(E172:E175)</f>
        <v>6368440.0300000012</v>
      </c>
      <c r="F176" s="570">
        <f>SUM(F172:F175)</f>
        <v>6368440.0300000012</v>
      </c>
      <c r="G176" s="570">
        <f t="shared" ref="G176:K176" si="24">SUM(G172:G175)</f>
        <v>6140719.6695695184</v>
      </c>
      <c r="H176" s="570">
        <f t="shared" si="24"/>
        <v>109856.02186393959</v>
      </c>
      <c r="I176" s="570">
        <f t="shared" si="24"/>
        <v>105916.4467118524</v>
      </c>
      <c r="J176" s="570">
        <f t="shared" si="24"/>
        <v>11947.891854690668</v>
      </c>
      <c r="K176" s="570">
        <f t="shared" si="24"/>
        <v>0</v>
      </c>
    </row>
    <row r="177" spans="5:11" x14ac:dyDescent="0.25">
      <c r="E177" s="570">
        <f>SUM(G177:J177)</f>
        <v>6368440.0300000003</v>
      </c>
      <c r="G177" s="570">
        <f>G3+G56+G129+G150</f>
        <v>6140719.6695695184</v>
      </c>
      <c r="H177" s="570">
        <f>H3+H56+H129+H150</f>
        <v>109856.02186393959</v>
      </c>
      <c r="I177" s="570">
        <f>I3+I56+I129+I150</f>
        <v>105916.4467118524</v>
      </c>
      <c r="J177" s="570">
        <f>J3+J56+J129+J150</f>
        <v>11947.891854690668</v>
      </c>
      <c r="K177" s="570"/>
    </row>
    <row r="179" spans="5:11" x14ac:dyDescent="0.25">
      <c r="F179" s="694" t="s">
        <v>552</v>
      </c>
      <c r="G179" s="695">
        <v>0</v>
      </c>
      <c r="H179" s="695">
        <f t="shared" ref="H179:K179" si="25">$G$179</f>
        <v>0</v>
      </c>
      <c r="I179" s="695">
        <f t="shared" si="25"/>
        <v>0</v>
      </c>
      <c r="J179" s="695">
        <f t="shared" si="25"/>
        <v>0</v>
      </c>
      <c r="K179" s="695">
        <f t="shared" si="25"/>
        <v>0</v>
      </c>
    </row>
  </sheetData>
  <autoFilter ref="G1:G170" xr:uid="{00000000-0009-0000-0000-00000C000000}"/>
  <mergeCells count="68">
    <mergeCell ref="B150:D150"/>
    <mergeCell ref="B151:B160"/>
    <mergeCell ref="C151:C160"/>
    <mergeCell ref="D151:D160"/>
    <mergeCell ref="B161:B170"/>
    <mergeCell ref="C161:C170"/>
    <mergeCell ref="D161:D170"/>
    <mergeCell ref="B36:B45"/>
    <mergeCell ref="C36:C45"/>
    <mergeCell ref="D36:D45"/>
    <mergeCell ref="B3:D3"/>
    <mergeCell ref="B46:B55"/>
    <mergeCell ref="C46:C55"/>
    <mergeCell ref="D46:D55"/>
    <mergeCell ref="B15:B24"/>
    <mergeCell ref="C15:C24"/>
    <mergeCell ref="D15:D24"/>
    <mergeCell ref="B26:B35"/>
    <mergeCell ref="C26:C35"/>
    <mergeCell ref="D26:D35"/>
    <mergeCell ref="D5:D14"/>
    <mergeCell ref="B5:B14"/>
    <mergeCell ref="C5:C14"/>
    <mergeCell ref="B56:D56"/>
    <mergeCell ref="B58:B67"/>
    <mergeCell ref="C58:C67"/>
    <mergeCell ref="D58:D67"/>
    <mergeCell ref="B68:B77"/>
    <mergeCell ref="C68:C77"/>
    <mergeCell ref="D68:D77"/>
    <mergeCell ref="B119:B128"/>
    <mergeCell ref="C119:C128"/>
    <mergeCell ref="D119:D128"/>
    <mergeCell ref="B1:E1"/>
    <mergeCell ref="B99:B108"/>
    <mergeCell ref="C99:C108"/>
    <mergeCell ref="D99:D108"/>
    <mergeCell ref="B109:B118"/>
    <mergeCell ref="C109:C118"/>
    <mergeCell ref="D109:D118"/>
    <mergeCell ref="B79:B88"/>
    <mergeCell ref="C79:C88"/>
    <mergeCell ref="D79:D88"/>
    <mergeCell ref="B89:B98"/>
    <mergeCell ref="C89:C98"/>
    <mergeCell ref="D89:D98"/>
    <mergeCell ref="B130:B139"/>
    <mergeCell ref="C130:C139"/>
    <mergeCell ref="D130:D139"/>
    <mergeCell ref="B140:B149"/>
    <mergeCell ref="C140:C149"/>
    <mergeCell ref="D140:D149"/>
    <mergeCell ref="A5:A14"/>
    <mergeCell ref="A15:A24"/>
    <mergeCell ref="A26:A35"/>
    <mergeCell ref="A36:A45"/>
    <mergeCell ref="A46:A55"/>
    <mergeCell ref="A58:A67"/>
    <mergeCell ref="A68:A77"/>
    <mergeCell ref="A79:A88"/>
    <mergeCell ref="A89:A98"/>
    <mergeCell ref="A99:A108"/>
    <mergeCell ref="A161:A170"/>
    <mergeCell ref="A109:A118"/>
    <mergeCell ref="A119:A128"/>
    <mergeCell ref="A130:A139"/>
    <mergeCell ref="A140:A149"/>
    <mergeCell ref="A151:A160"/>
  </mergeCells>
  <pageMargins left="0.7" right="0.7" top="0.75" bottom="0.75" header="0.3" footer="0.3"/>
  <pageSetup paperSize="9" scale="29" orientation="portrait" r:id="rId1"/>
  <ignoredErrors>
    <ignoredError sqref="F78" formula="1"/>
  </ignoredError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outlinePr summaryBelow="0" summaryRight="0"/>
  </sheetPr>
  <dimension ref="A1:K88"/>
  <sheetViews>
    <sheetView view="pageBreakPreview" zoomScaleNormal="85" zoomScaleSheetLayoutView="100" workbookViewId="0">
      <pane ySplit="1" topLeftCell="A33" activePane="bottomLeft" state="frozen"/>
      <selection activeCell="C47" sqref="C47"/>
      <selection pane="bottomLeft" activeCell="F37" sqref="F37"/>
    </sheetView>
  </sheetViews>
  <sheetFormatPr defaultColWidth="8.85546875" defaultRowHeight="15" outlineLevelRow="1" outlineLevelCol="1" x14ac:dyDescent="0.25"/>
  <cols>
    <col min="1" max="1" width="22.42578125" customWidth="1"/>
    <col min="2" max="2" width="23.42578125" customWidth="1"/>
    <col min="3" max="3" width="22.42578125" customWidth="1"/>
    <col min="5" max="5" width="17.85546875" customWidth="1"/>
    <col min="6" max="6" width="14.85546875" customWidth="1" outlineLevel="1"/>
    <col min="7" max="7" width="15.42578125" customWidth="1" outlineLevel="1"/>
    <col min="8" max="8" width="11.5703125" customWidth="1" outlineLevel="1"/>
    <col min="9" max="9" width="12.85546875" customWidth="1" outlineLevel="1"/>
    <col min="11" max="11" width="27.42578125" customWidth="1"/>
  </cols>
  <sheetData>
    <row r="1" spans="1:11" ht="60" customHeight="1" thickBot="1" x14ac:dyDescent="0.4">
      <c r="A1" s="1313" t="s">
        <v>628</v>
      </c>
      <c r="B1" s="1313"/>
      <c r="C1" s="1313"/>
      <c r="D1" s="1314"/>
      <c r="E1" s="502" t="s">
        <v>35</v>
      </c>
      <c r="F1" s="893" t="s">
        <v>951</v>
      </c>
      <c r="G1" s="503" t="str">
        <f>'Rozpočet - vývoj Aplikácií'!$C$60</f>
        <v>2. Mobilný Agendový informačný systém KSED</v>
      </c>
      <c r="H1" s="503" t="str">
        <f>'Rozpočet - vývoj Aplikácií'!$C$66</f>
        <v>3. Verejný portál KSED</v>
      </c>
      <c r="I1" s="567" t="str">
        <f>'Rozpočet - vývoj Aplikácií'!$C$73</f>
        <v>4. Mobilná aplikácia Podnety</v>
      </c>
    </row>
    <row r="2" spans="1:11" ht="15.75" thickBot="1" x14ac:dyDescent="0.3">
      <c r="A2" s="40" t="s">
        <v>0</v>
      </c>
      <c r="B2" s="75" t="s">
        <v>75</v>
      </c>
      <c r="C2" s="75" t="s">
        <v>74</v>
      </c>
      <c r="D2" s="75" t="s">
        <v>23</v>
      </c>
      <c r="E2" s="17"/>
      <c r="F2" s="17"/>
      <c r="G2" s="17"/>
      <c r="H2" s="17"/>
      <c r="I2" s="568"/>
    </row>
    <row r="3" spans="1:11" ht="15.75" thickBot="1" x14ac:dyDescent="0.3">
      <c r="A3" s="1322" t="s">
        <v>88</v>
      </c>
      <c r="B3" s="1322"/>
      <c r="C3" s="1322"/>
      <c r="D3" s="74"/>
      <c r="E3" s="77">
        <f t="shared" ref="E3:I3" si="0">SUM(E4:E33)</f>
        <v>1034163.04</v>
      </c>
      <c r="F3" s="519">
        <f t="shared" si="0"/>
        <v>239571.03999999998</v>
      </c>
      <c r="G3" s="519">
        <f t="shared" si="0"/>
        <v>794592</v>
      </c>
      <c r="H3" s="520">
        <f t="shared" si="0"/>
        <v>0</v>
      </c>
      <c r="I3" s="521">
        <f t="shared" si="0"/>
        <v>0</v>
      </c>
    </row>
    <row r="4" spans="1:11" outlineLevel="1" x14ac:dyDescent="0.25">
      <c r="A4" s="1311" t="s">
        <v>90</v>
      </c>
      <c r="B4" s="1311" t="s">
        <v>93</v>
      </c>
      <c r="C4" s="1311" t="s">
        <v>358</v>
      </c>
      <c r="D4" s="67" t="s">
        <v>25</v>
      </c>
      <c r="E4" s="71">
        <f t="shared" ref="E4:E33" si="1">SUM(F4:I4)</f>
        <v>0</v>
      </c>
      <c r="F4" s="541">
        <v>0</v>
      </c>
      <c r="G4" s="541">
        <v>0</v>
      </c>
      <c r="H4" s="541">
        <f>SUMIFS('Rozpočet - HW a licencie'!$F$3:$F$23,'Rozpočet - HW a licencie'!$H$3:$H$23,3)*(1+H$88)</f>
        <v>0</v>
      </c>
      <c r="I4" s="544">
        <f>SUMIFS('Rozpočet - HW a licencie'!$F$3:$F$23,'Rozpočet - HW a licencie'!$H$3:$H$23,4)*(1+I$88)</f>
        <v>0</v>
      </c>
    </row>
    <row r="5" spans="1:11" outlineLevel="1" x14ac:dyDescent="0.25">
      <c r="A5" s="1311"/>
      <c r="B5" s="1312"/>
      <c r="C5" s="1311"/>
      <c r="D5" s="68" t="s">
        <v>26</v>
      </c>
      <c r="E5" s="72">
        <f t="shared" si="1"/>
        <v>1034163.04</v>
      </c>
      <c r="F5" s="546">
        <f>SUMIFS('Rozpočet - HW a licencie'!$F$3:$F$23,'Rozpočet - HW a licencie'!$H$3:$H$23,1)*(1+F$88)</f>
        <v>239571.03999999998</v>
      </c>
      <c r="G5" s="547">
        <f>SUMIFS('Rozpočet - HW a licencie'!$F$3:$F$23,'Rozpočet - HW a licencie'!$H$3:$H$23,2)*(1+G$88)</f>
        <v>794592</v>
      </c>
      <c r="H5" s="548">
        <v>0</v>
      </c>
      <c r="I5" s="549">
        <v>0</v>
      </c>
      <c r="K5" s="622"/>
    </row>
    <row r="6" spans="1:11" outlineLevel="1" x14ac:dyDescent="0.25">
      <c r="A6" s="1311"/>
      <c r="B6" s="1312"/>
      <c r="C6" s="1311"/>
      <c r="D6" s="68" t="s">
        <v>27</v>
      </c>
      <c r="E6" s="72">
        <f t="shared" si="1"/>
        <v>0</v>
      </c>
      <c r="F6" s="547">
        <v>0</v>
      </c>
      <c r="G6" s="547">
        <v>0</v>
      </c>
      <c r="H6" s="548">
        <v>0</v>
      </c>
      <c r="I6" s="549">
        <v>0</v>
      </c>
    </row>
    <row r="7" spans="1:11" outlineLevel="1" x14ac:dyDescent="0.25">
      <c r="A7" s="1311"/>
      <c r="B7" s="1312"/>
      <c r="C7" s="1311"/>
      <c r="D7" s="68" t="s">
        <v>28</v>
      </c>
      <c r="E7" s="72">
        <f t="shared" si="1"/>
        <v>0</v>
      </c>
      <c r="F7" s="547">
        <v>0</v>
      </c>
      <c r="G7" s="547">
        <v>0</v>
      </c>
      <c r="H7" s="548">
        <v>0</v>
      </c>
      <c r="I7" s="549">
        <v>0</v>
      </c>
    </row>
    <row r="8" spans="1:11" outlineLevel="1" x14ac:dyDescent="0.25">
      <c r="A8" s="1311"/>
      <c r="B8" s="1312"/>
      <c r="C8" s="1311"/>
      <c r="D8" s="68" t="s">
        <v>29</v>
      </c>
      <c r="E8" s="72">
        <f t="shared" si="1"/>
        <v>0</v>
      </c>
      <c r="F8" s="547">
        <v>0</v>
      </c>
      <c r="G8" s="547">
        <v>0</v>
      </c>
      <c r="H8" s="548">
        <v>0</v>
      </c>
      <c r="I8" s="549">
        <v>0</v>
      </c>
    </row>
    <row r="9" spans="1:11" outlineLevel="1" x14ac:dyDescent="0.25">
      <c r="A9" s="1311"/>
      <c r="B9" s="1312"/>
      <c r="C9" s="1311"/>
      <c r="D9" s="68" t="s">
        <v>30</v>
      </c>
      <c r="E9" s="72">
        <f t="shared" si="1"/>
        <v>0</v>
      </c>
      <c r="F9" s="547">
        <v>0</v>
      </c>
      <c r="G9" s="547">
        <v>0</v>
      </c>
      <c r="H9" s="548">
        <v>0</v>
      </c>
      <c r="I9" s="549">
        <v>0</v>
      </c>
    </row>
    <row r="10" spans="1:11" outlineLevel="1" x14ac:dyDescent="0.25">
      <c r="A10" s="1311"/>
      <c r="B10" s="1312"/>
      <c r="C10" s="1311"/>
      <c r="D10" s="68" t="s">
        <v>31</v>
      </c>
      <c r="E10" s="72">
        <f t="shared" si="1"/>
        <v>0</v>
      </c>
      <c r="F10" s="547">
        <v>0</v>
      </c>
      <c r="G10" s="547">
        <v>0</v>
      </c>
      <c r="H10" s="548">
        <v>0</v>
      </c>
      <c r="I10" s="549">
        <v>0</v>
      </c>
    </row>
    <row r="11" spans="1:11" outlineLevel="1" x14ac:dyDescent="0.25">
      <c r="A11" s="1311"/>
      <c r="B11" s="1312"/>
      <c r="C11" s="1311"/>
      <c r="D11" s="68" t="s">
        <v>32</v>
      </c>
      <c r="E11" s="72">
        <f t="shared" si="1"/>
        <v>0</v>
      </c>
      <c r="F11" s="547">
        <v>0</v>
      </c>
      <c r="G11" s="547">
        <v>0</v>
      </c>
      <c r="H11" s="548">
        <v>0</v>
      </c>
      <c r="I11" s="549">
        <v>0</v>
      </c>
    </row>
    <row r="12" spans="1:11" outlineLevel="1" x14ac:dyDescent="0.25">
      <c r="A12" s="1311"/>
      <c r="B12" s="1312"/>
      <c r="C12" s="1311"/>
      <c r="D12" s="68" t="s">
        <v>33</v>
      </c>
      <c r="E12" s="72">
        <f t="shared" si="1"/>
        <v>0</v>
      </c>
      <c r="F12" s="547">
        <v>0</v>
      </c>
      <c r="G12" s="547">
        <v>0</v>
      </c>
      <c r="H12" s="548">
        <v>0</v>
      </c>
      <c r="I12" s="549">
        <v>0</v>
      </c>
    </row>
    <row r="13" spans="1:11" ht="15.75" outlineLevel="1" thickBot="1" x14ac:dyDescent="0.3">
      <c r="A13" s="1311"/>
      <c r="B13" s="1312"/>
      <c r="C13" s="1311"/>
      <c r="D13" s="69" t="s">
        <v>34</v>
      </c>
      <c r="E13" s="73">
        <f t="shared" si="1"/>
        <v>0</v>
      </c>
      <c r="F13" s="552">
        <v>0</v>
      </c>
      <c r="G13" s="552">
        <v>0</v>
      </c>
      <c r="H13" s="553">
        <v>0</v>
      </c>
      <c r="I13" s="554">
        <v>0</v>
      </c>
    </row>
    <row r="14" spans="1:11" ht="15" customHeight="1" outlineLevel="1" x14ac:dyDescent="0.25">
      <c r="A14" s="1311" t="s">
        <v>91</v>
      </c>
      <c r="B14" s="1311" t="s">
        <v>113</v>
      </c>
      <c r="C14" s="1311" t="s">
        <v>359</v>
      </c>
      <c r="D14" s="67" t="s">
        <v>25</v>
      </c>
      <c r="E14" s="72">
        <f t="shared" si="1"/>
        <v>0</v>
      </c>
      <c r="F14" s="541">
        <v>0</v>
      </c>
      <c r="G14" s="542">
        <v>0</v>
      </c>
      <c r="H14" s="543">
        <v>0</v>
      </c>
      <c r="I14" s="544">
        <v>0</v>
      </c>
      <c r="K14" t="s">
        <v>997</v>
      </c>
    </row>
    <row r="15" spans="1:11" outlineLevel="1" x14ac:dyDescent="0.25">
      <c r="A15" s="1311"/>
      <c r="B15" s="1312"/>
      <c r="C15" s="1311"/>
      <c r="D15" s="68" t="s">
        <v>26</v>
      </c>
      <c r="E15" s="72">
        <f t="shared" si="1"/>
        <v>0</v>
      </c>
      <c r="F15" s="546">
        <v>0</v>
      </c>
      <c r="G15" s="547">
        <v>0</v>
      </c>
      <c r="H15" s="548">
        <v>0</v>
      </c>
      <c r="I15" s="549">
        <v>0</v>
      </c>
    </row>
    <row r="16" spans="1:11" outlineLevel="1" x14ac:dyDescent="0.25">
      <c r="A16" s="1311"/>
      <c r="B16" s="1312"/>
      <c r="C16" s="1311"/>
      <c r="D16" s="68" t="s">
        <v>27</v>
      </c>
      <c r="E16" s="72">
        <f t="shared" si="1"/>
        <v>0</v>
      </c>
      <c r="F16" s="546">
        <v>0</v>
      </c>
      <c r="G16" s="547">
        <v>0</v>
      </c>
      <c r="H16" s="548">
        <v>0</v>
      </c>
      <c r="I16" s="549">
        <v>0</v>
      </c>
    </row>
    <row r="17" spans="1:9" outlineLevel="1" x14ac:dyDescent="0.25">
      <c r="A17" s="1311"/>
      <c r="B17" s="1312"/>
      <c r="C17" s="1311"/>
      <c r="D17" s="68" t="s">
        <v>28</v>
      </c>
      <c r="E17" s="72">
        <f t="shared" si="1"/>
        <v>0</v>
      </c>
      <c r="F17" s="546">
        <v>0</v>
      </c>
      <c r="G17" s="547">
        <v>0</v>
      </c>
      <c r="H17" s="548">
        <v>0</v>
      </c>
      <c r="I17" s="549">
        <v>0</v>
      </c>
    </row>
    <row r="18" spans="1:9" outlineLevel="1" x14ac:dyDescent="0.25">
      <c r="A18" s="1311"/>
      <c r="B18" s="1312"/>
      <c r="C18" s="1311"/>
      <c r="D18" s="68" t="s">
        <v>29</v>
      </c>
      <c r="E18" s="72">
        <f t="shared" si="1"/>
        <v>0</v>
      </c>
      <c r="F18" s="546">
        <v>0</v>
      </c>
      <c r="G18" s="547">
        <v>0</v>
      </c>
      <c r="H18" s="548">
        <v>0</v>
      </c>
      <c r="I18" s="549">
        <v>0</v>
      </c>
    </row>
    <row r="19" spans="1:9" outlineLevel="1" x14ac:dyDescent="0.25">
      <c r="A19" s="1311"/>
      <c r="B19" s="1312"/>
      <c r="C19" s="1311"/>
      <c r="D19" s="68" t="s">
        <v>30</v>
      </c>
      <c r="E19" s="72">
        <f t="shared" si="1"/>
        <v>0</v>
      </c>
      <c r="F19" s="546">
        <v>0</v>
      </c>
      <c r="G19" s="547">
        <v>0</v>
      </c>
      <c r="H19" s="548">
        <v>0</v>
      </c>
      <c r="I19" s="549">
        <v>0</v>
      </c>
    </row>
    <row r="20" spans="1:9" outlineLevel="1" x14ac:dyDescent="0.25">
      <c r="A20" s="1311"/>
      <c r="B20" s="1312"/>
      <c r="C20" s="1311"/>
      <c r="D20" s="68" t="s">
        <v>31</v>
      </c>
      <c r="E20" s="72">
        <f t="shared" si="1"/>
        <v>0</v>
      </c>
      <c r="F20" s="546">
        <v>0</v>
      </c>
      <c r="G20" s="547">
        <v>0</v>
      </c>
      <c r="H20" s="548">
        <v>0</v>
      </c>
      <c r="I20" s="549">
        <v>0</v>
      </c>
    </row>
    <row r="21" spans="1:9" outlineLevel="1" x14ac:dyDescent="0.25">
      <c r="A21" s="1311"/>
      <c r="B21" s="1312"/>
      <c r="C21" s="1311"/>
      <c r="D21" s="68" t="s">
        <v>32</v>
      </c>
      <c r="E21" s="72">
        <f t="shared" si="1"/>
        <v>0</v>
      </c>
      <c r="F21" s="546">
        <v>0</v>
      </c>
      <c r="G21" s="547">
        <v>0</v>
      </c>
      <c r="H21" s="548">
        <v>0</v>
      </c>
      <c r="I21" s="549">
        <v>0</v>
      </c>
    </row>
    <row r="22" spans="1:9" outlineLevel="1" x14ac:dyDescent="0.25">
      <c r="A22" s="1311"/>
      <c r="B22" s="1312"/>
      <c r="C22" s="1311"/>
      <c r="D22" s="68" t="s">
        <v>33</v>
      </c>
      <c r="E22" s="72">
        <f t="shared" si="1"/>
        <v>0</v>
      </c>
      <c r="F22" s="546">
        <v>0</v>
      </c>
      <c r="G22" s="547">
        <v>0</v>
      </c>
      <c r="H22" s="548">
        <v>0</v>
      </c>
      <c r="I22" s="549">
        <v>0</v>
      </c>
    </row>
    <row r="23" spans="1:9" ht="15.75" outlineLevel="1" thickBot="1" x14ac:dyDescent="0.3">
      <c r="A23" s="1311"/>
      <c r="B23" s="1312"/>
      <c r="C23" s="1311"/>
      <c r="D23" s="69" t="s">
        <v>34</v>
      </c>
      <c r="E23" s="73">
        <f t="shared" si="1"/>
        <v>0</v>
      </c>
      <c r="F23" s="551">
        <v>0</v>
      </c>
      <c r="G23" s="552">
        <v>0</v>
      </c>
      <c r="H23" s="553">
        <v>0</v>
      </c>
      <c r="I23" s="554">
        <v>0</v>
      </c>
    </row>
    <row r="24" spans="1:9" outlineLevel="1" x14ac:dyDescent="0.25">
      <c r="A24" s="1311" t="s">
        <v>92</v>
      </c>
      <c r="B24" s="1312" t="s">
        <v>78</v>
      </c>
      <c r="C24" s="1311" t="s">
        <v>339</v>
      </c>
      <c r="D24" s="67" t="s">
        <v>25</v>
      </c>
      <c r="E24" s="72">
        <f t="shared" si="1"/>
        <v>0</v>
      </c>
      <c r="F24" s="541">
        <v>0</v>
      </c>
      <c r="G24" s="542">
        <v>0</v>
      </c>
      <c r="H24" s="543">
        <v>0</v>
      </c>
      <c r="I24" s="544">
        <v>0</v>
      </c>
    </row>
    <row r="25" spans="1:9" outlineLevel="1" x14ac:dyDescent="0.25">
      <c r="A25" s="1311"/>
      <c r="B25" s="1312"/>
      <c r="C25" s="1311"/>
      <c r="D25" s="68" t="s">
        <v>26</v>
      </c>
      <c r="E25" s="72">
        <f t="shared" si="1"/>
        <v>0</v>
      </c>
      <c r="F25" s="546">
        <v>0</v>
      </c>
      <c r="G25" s="547">
        <v>0</v>
      </c>
      <c r="H25" s="548">
        <v>0</v>
      </c>
      <c r="I25" s="549">
        <v>0</v>
      </c>
    </row>
    <row r="26" spans="1:9" outlineLevel="1" x14ac:dyDescent="0.25">
      <c r="A26" s="1311"/>
      <c r="B26" s="1312"/>
      <c r="C26" s="1311"/>
      <c r="D26" s="68" t="s">
        <v>27</v>
      </c>
      <c r="E26" s="72">
        <f t="shared" si="1"/>
        <v>0</v>
      </c>
      <c r="F26" s="546">
        <v>0</v>
      </c>
      <c r="G26" s="547">
        <v>0</v>
      </c>
      <c r="H26" s="548">
        <v>0</v>
      </c>
      <c r="I26" s="549">
        <v>0</v>
      </c>
    </row>
    <row r="27" spans="1:9" outlineLevel="1" x14ac:dyDescent="0.25">
      <c r="A27" s="1311"/>
      <c r="B27" s="1312"/>
      <c r="C27" s="1311"/>
      <c r="D27" s="68" t="s">
        <v>28</v>
      </c>
      <c r="E27" s="72">
        <f t="shared" si="1"/>
        <v>0</v>
      </c>
      <c r="F27" s="546">
        <v>0</v>
      </c>
      <c r="G27" s="547">
        <v>0</v>
      </c>
      <c r="H27" s="548">
        <v>0</v>
      </c>
      <c r="I27" s="549">
        <v>0</v>
      </c>
    </row>
    <row r="28" spans="1:9" outlineLevel="1" x14ac:dyDescent="0.25">
      <c r="A28" s="1311"/>
      <c r="B28" s="1312"/>
      <c r="C28" s="1311"/>
      <c r="D28" s="68" t="s">
        <v>29</v>
      </c>
      <c r="E28" s="72">
        <f t="shared" si="1"/>
        <v>0</v>
      </c>
      <c r="F28" s="546">
        <v>0</v>
      </c>
      <c r="G28" s="547">
        <v>0</v>
      </c>
      <c r="H28" s="548">
        <v>0</v>
      </c>
      <c r="I28" s="549">
        <v>0</v>
      </c>
    </row>
    <row r="29" spans="1:9" outlineLevel="1" x14ac:dyDescent="0.25">
      <c r="A29" s="1311"/>
      <c r="B29" s="1312"/>
      <c r="C29" s="1311"/>
      <c r="D29" s="68" t="s">
        <v>30</v>
      </c>
      <c r="E29" s="72">
        <f t="shared" si="1"/>
        <v>0</v>
      </c>
      <c r="F29" s="546">
        <v>0</v>
      </c>
      <c r="G29" s="547">
        <v>0</v>
      </c>
      <c r="H29" s="548">
        <v>0</v>
      </c>
      <c r="I29" s="549">
        <v>0</v>
      </c>
    </row>
    <row r="30" spans="1:9" outlineLevel="1" x14ac:dyDescent="0.25">
      <c r="A30" s="1311"/>
      <c r="B30" s="1312"/>
      <c r="C30" s="1311"/>
      <c r="D30" s="68" t="s">
        <v>31</v>
      </c>
      <c r="E30" s="72">
        <f t="shared" si="1"/>
        <v>0</v>
      </c>
      <c r="F30" s="546">
        <v>0</v>
      </c>
      <c r="G30" s="547">
        <v>0</v>
      </c>
      <c r="H30" s="548">
        <v>0</v>
      </c>
      <c r="I30" s="549">
        <v>0</v>
      </c>
    </row>
    <row r="31" spans="1:9" outlineLevel="1" x14ac:dyDescent="0.25">
      <c r="A31" s="1311"/>
      <c r="B31" s="1312"/>
      <c r="C31" s="1311"/>
      <c r="D31" s="68" t="s">
        <v>32</v>
      </c>
      <c r="E31" s="72">
        <f t="shared" si="1"/>
        <v>0</v>
      </c>
      <c r="F31" s="546">
        <v>0</v>
      </c>
      <c r="G31" s="547">
        <v>0</v>
      </c>
      <c r="H31" s="548">
        <v>0</v>
      </c>
      <c r="I31" s="549">
        <v>0</v>
      </c>
    </row>
    <row r="32" spans="1:9" outlineLevel="1" x14ac:dyDescent="0.25">
      <c r="A32" s="1311"/>
      <c r="B32" s="1312"/>
      <c r="C32" s="1311"/>
      <c r="D32" s="68" t="s">
        <v>33</v>
      </c>
      <c r="E32" s="72">
        <f t="shared" si="1"/>
        <v>0</v>
      </c>
      <c r="F32" s="546">
        <v>0</v>
      </c>
      <c r="G32" s="547">
        <v>0</v>
      </c>
      <c r="H32" s="548">
        <v>0</v>
      </c>
      <c r="I32" s="549">
        <v>0</v>
      </c>
    </row>
    <row r="33" spans="1:11" ht="15.75" outlineLevel="1" thickBot="1" x14ac:dyDescent="0.3">
      <c r="A33" s="1311"/>
      <c r="B33" s="1312"/>
      <c r="C33" s="1311"/>
      <c r="D33" s="69" t="s">
        <v>34</v>
      </c>
      <c r="E33" s="72">
        <f t="shared" si="1"/>
        <v>0</v>
      </c>
      <c r="F33" s="551">
        <v>0</v>
      </c>
      <c r="G33" s="552">
        <v>0</v>
      </c>
      <c r="H33" s="553">
        <v>0</v>
      </c>
      <c r="I33" s="554">
        <v>0</v>
      </c>
    </row>
    <row r="34" spans="1:11" ht="15.75" thickBot="1" x14ac:dyDescent="0.3">
      <c r="A34" s="1317" t="s">
        <v>89</v>
      </c>
      <c r="B34" s="1317"/>
      <c r="C34" s="1317"/>
      <c r="D34" s="76"/>
      <c r="E34" s="77">
        <f t="shared" ref="E34:I34" si="2">SUM(E35:E84)</f>
        <v>817402.81599999988</v>
      </c>
      <c r="F34" s="519">
        <f t="shared" si="2"/>
        <v>22810.815999999995</v>
      </c>
      <c r="G34" s="519">
        <f t="shared" si="2"/>
        <v>794592</v>
      </c>
      <c r="H34" s="520">
        <f t="shared" si="2"/>
        <v>0</v>
      </c>
      <c r="I34" s="521">
        <f t="shared" si="2"/>
        <v>0</v>
      </c>
    </row>
    <row r="35" spans="1:11" outlineLevel="1" x14ac:dyDescent="0.25">
      <c r="A35" s="1311" t="s">
        <v>94</v>
      </c>
      <c r="B35" s="1312" t="s">
        <v>81</v>
      </c>
      <c r="C35" s="1311" t="s">
        <v>360</v>
      </c>
      <c r="D35" s="67" t="s">
        <v>25</v>
      </c>
      <c r="E35" s="71">
        <f t="shared" ref="E35:E66" si="3">SUM(F35:I35)</f>
        <v>0</v>
      </c>
      <c r="F35" s="543">
        <v>0</v>
      </c>
      <c r="G35" s="543">
        <v>0</v>
      </c>
      <c r="H35" s="543">
        <v>0</v>
      </c>
      <c r="I35" s="544">
        <v>0</v>
      </c>
    </row>
    <row r="36" spans="1:11" outlineLevel="1" x14ac:dyDescent="0.25">
      <c r="A36" s="1311"/>
      <c r="B36" s="1312"/>
      <c r="C36" s="1311"/>
      <c r="D36" s="68" t="s">
        <v>26</v>
      </c>
      <c r="E36" s="72">
        <f t="shared" si="3"/>
        <v>0</v>
      </c>
      <c r="F36" s="548">
        <v>0</v>
      </c>
      <c r="G36" s="548">
        <v>0</v>
      </c>
      <c r="H36" s="548">
        <v>0</v>
      </c>
      <c r="I36" s="549">
        <v>0</v>
      </c>
    </row>
    <row r="37" spans="1:11" outlineLevel="1" x14ac:dyDescent="0.25">
      <c r="A37" s="1311"/>
      <c r="B37" s="1312"/>
      <c r="C37" s="1311"/>
      <c r="D37" s="68" t="s">
        <v>27</v>
      </c>
      <c r="E37" s="72">
        <f t="shared" si="3"/>
        <v>2851.3519999999999</v>
      </c>
      <c r="F37" s="548">
        <f>(Rozpocet_koniec_projektu!R50+Rozpocet_koniec_projektu!R51+Rozpocet_koniec_projektu!R53)*5%</f>
        <v>2851.3519999999999</v>
      </c>
      <c r="G37" s="548">
        <v>0</v>
      </c>
      <c r="H37" s="548">
        <v>0</v>
      </c>
      <c r="I37" s="549">
        <v>0</v>
      </c>
      <c r="K37" t="s">
        <v>1004</v>
      </c>
    </row>
    <row r="38" spans="1:11" outlineLevel="1" x14ac:dyDescent="0.25">
      <c r="A38" s="1311"/>
      <c r="B38" s="1312"/>
      <c r="C38" s="1311"/>
      <c r="D38" s="68" t="s">
        <v>28</v>
      </c>
      <c r="E38" s="72">
        <f t="shared" si="3"/>
        <v>2851.3519999999999</v>
      </c>
      <c r="F38" s="548">
        <f>F37</f>
        <v>2851.3519999999999</v>
      </c>
      <c r="G38" s="548">
        <v>0</v>
      </c>
      <c r="H38" s="548">
        <v>0</v>
      </c>
      <c r="I38" s="549">
        <v>0</v>
      </c>
    </row>
    <row r="39" spans="1:11" outlineLevel="1" x14ac:dyDescent="0.25">
      <c r="A39" s="1311"/>
      <c r="B39" s="1312"/>
      <c r="C39" s="1311"/>
      <c r="D39" s="68" t="s">
        <v>29</v>
      </c>
      <c r="E39" s="72">
        <f t="shared" si="3"/>
        <v>2851.3519999999999</v>
      </c>
      <c r="F39" s="548">
        <f t="shared" ref="F39:F44" si="4">F38</f>
        <v>2851.3519999999999</v>
      </c>
      <c r="G39" s="548">
        <v>0</v>
      </c>
      <c r="H39" s="548">
        <v>0</v>
      </c>
      <c r="I39" s="549">
        <v>0</v>
      </c>
    </row>
    <row r="40" spans="1:11" outlineLevel="1" x14ac:dyDescent="0.25">
      <c r="A40" s="1311"/>
      <c r="B40" s="1312"/>
      <c r="C40" s="1311"/>
      <c r="D40" s="68" t="s">
        <v>30</v>
      </c>
      <c r="E40" s="72">
        <f t="shared" si="3"/>
        <v>2851.3519999999999</v>
      </c>
      <c r="F40" s="548">
        <f t="shared" si="4"/>
        <v>2851.3519999999999</v>
      </c>
      <c r="G40" s="548">
        <v>0</v>
      </c>
      <c r="H40" s="548">
        <v>0</v>
      </c>
      <c r="I40" s="549">
        <v>0</v>
      </c>
    </row>
    <row r="41" spans="1:11" outlineLevel="1" x14ac:dyDescent="0.25">
      <c r="A41" s="1311"/>
      <c r="B41" s="1312"/>
      <c r="C41" s="1311"/>
      <c r="D41" s="68" t="s">
        <v>31</v>
      </c>
      <c r="E41" s="72">
        <f t="shared" si="3"/>
        <v>797443.35199999996</v>
      </c>
      <c r="F41" s="548">
        <f t="shared" si="4"/>
        <v>2851.3519999999999</v>
      </c>
      <c r="G41" s="548">
        <f>'Rozpočet - HW a licencie'!F3*(1+G$88)</f>
        <v>794592</v>
      </c>
      <c r="H41" s="548">
        <v>0</v>
      </c>
      <c r="I41" s="549">
        <v>0</v>
      </c>
    </row>
    <row r="42" spans="1:11" outlineLevel="1" x14ac:dyDescent="0.25">
      <c r="A42" s="1311"/>
      <c r="B42" s="1312"/>
      <c r="C42" s="1311"/>
      <c r="D42" s="68" t="s">
        <v>32</v>
      </c>
      <c r="E42" s="72">
        <f t="shared" si="3"/>
        <v>2851.3519999999999</v>
      </c>
      <c r="F42" s="548">
        <f t="shared" si="4"/>
        <v>2851.3519999999999</v>
      </c>
      <c r="G42" s="548">
        <v>0</v>
      </c>
      <c r="H42" s="548">
        <v>0</v>
      </c>
      <c r="I42" s="549">
        <v>0</v>
      </c>
    </row>
    <row r="43" spans="1:11" outlineLevel="1" x14ac:dyDescent="0.25">
      <c r="A43" s="1311"/>
      <c r="B43" s="1312"/>
      <c r="C43" s="1311"/>
      <c r="D43" s="68" t="s">
        <v>33</v>
      </c>
      <c r="E43" s="72">
        <f t="shared" si="3"/>
        <v>2851.3519999999999</v>
      </c>
      <c r="F43" s="548">
        <f t="shared" si="4"/>
        <v>2851.3519999999999</v>
      </c>
      <c r="G43" s="548">
        <v>0</v>
      </c>
      <c r="H43" s="548">
        <v>0</v>
      </c>
      <c r="I43" s="549">
        <v>0</v>
      </c>
    </row>
    <row r="44" spans="1:11" ht="15.75" outlineLevel="1" thickBot="1" x14ac:dyDescent="0.3">
      <c r="A44" s="1311"/>
      <c r="B44" s="1312"/>
      <c r="C44" s="1311"/>
      <c r="D44" s="69" t="s">
        <v>34</v>
      </c>
      <c r="E44" s="73">
        <f t="shared" si="3"/>
        <v>2851.3519999999999</v>
      </c>
      <c r="F44" s="548">
        <f t="shared" si="4"/>
        <v>2851.3519999999999</v>
      </c>
      <c r="G44" s="553">
        <v>0</v>
      </c>
      <c r="H44" s="553">
        <v>0</v>
      </c>
      <c r="I44" s="554">
        <v>0</v>
      </c>
    </row>
    <row r="45" spans="1:11" outlineLevel="1" x14ac:dyDescent="0.25">
      <c r="A45" s="1311" t="s">
        <v>95</v>
      </c>
      <c r="B45" s="1311" t="s">
        <v>93</v>
      </c>
      <c r="C45" s="1311" t="s">
        <v>361</v>
      </c>
      <c r="D45" s="67" t="s">
        <v>25</v>
      </c>
      <c r="E45" s="72">
        <f t="shared" si="3"/>
        <v>0</v>
      </c>
      <c r="F45" s="541">
        <v>0</v>
      </c>
      <c r="G45" s="542">
        <v>0</v>
      </c>
      <c r="H45" s="543">
        <v>0</v>
      </c>
      <c r="I45" s="544">
        <v>0</v>
      </c>
    </row>
    <row r="46" spans="1:11" outlineLevel="1" x14ac:dyDescent="0.25">
      <c r="A46" s="1311"/>
      <c r="B46" s="1312"/>
      <c r="C46" s="1311"/>
      <c r="D46" s="68" t="s">
        <v>26</v>
      </c>
      <c r="E46" s="72">
        <f t="shared" si="3"/>
        <v>0</v>
      </c>
      <c r="F46" s="546">
        <v>0</v>
      </c>
      <c r="G46" s="547">
        <v>0</v>
      </c>
      <c r="H46" s="548">
        <v>0</v>
      </c>
      <c r="I46" s="549">
        <v>0</v>
      </c>
    </row>
    <row r="47" spans="1:11" outlineLevel="1" x14ac:dyDescent="0.25">
      <c r="A47" s="1311"/>
      <c r="B47" s="1312"/>
      <c r="C47" s="1311"/>
      <c r="D47" s="68" t="s">
        <v>27</v>
      </c>
      <c r="E47" s="72">
        <f t="shared" si="3"/>
        <v>0</v>
      </c>
      <c r="F47" s="546">
        <v>0</v>
      </c>
      <c r="G47" s="547">
        <v>0</v>
      </c>
      <c r="H47" s="548">
        <v>0</v>
      </c>
      <c r="I47" s="549">
        <v>0</v>
      </c>
    </row>
    <row r="48" spans="1:11" outlineLevel="1" x14ac:dyDescent="0.25">
      <c r="A48" s="1311"/>
      <c r="B48" s="1312"/>
      <c r="C48" s="1311"/>
      <c r="D48" s="68" t="s">
        <v>28</v>
      </c>
      <c r="E48" s="72">
        <f t="shared" si="3"/>
        <v>0</v>
      </c>
      <c r="F48" s="546">
        <v>0</v>
      </c>
      <c r="G48" s="547">
        <v>0</v>
      </c>
      <c r="H48" s="548">
        <v>0</v>
      </c>
      <c r="I48" s="549">
        <v>0</v>
      </c>
    </row>
    <row r="49" spans="1:9" outlineLevel="1" x14ac:dyDescent="0.25">
      <c r="A49" s="1311"/>
      <c r="B49" s="1312"/>
      <c r="C49" s="1311"/>
      <c r="D49" s="68" t="s">
        <v>29</v>
      </c>
      <c r="E49" s="72">
        <f t="shared" si="3"/>
        <v>0</v>
      </c>
      <c r="F49" s="546">
        <v>0</v>
      </c>
      <c r="G49" s="547">
        <v>0</v>
      </c>
      <c r="H49" s="548">
        <v>0</v>
      </c>
      <c r="I49" s="549">
        <v>0</v>
      </c>
    </row>
    <row r="50" spans="1:9" outlineLevel="1" x14ac:dyDescent="0.25">
      <c r="A50" s="1311"/>
      <c r="B50" s="1312"/>
      <c r="C50" s="1311"/>
      <c r="D50" s="68" t="s">
        <v>30</v>
      </c>
      <c r="E50" s="72">
        <f t="shared" si="3"/>
        <v>0</v>
      </c>
      <c r="F50" s="546">
        <v>0</v>
      </c>
      <c r="G50" s="547">
        <v>0</v>
      </c>
      <c r="H50" s="548">
        <v>0</v>
      </c>
      <c r="I50" s="549">
        <v>0</v>
      </c>
    </row>
    <row r="51" spans="1:9" outlineLevel="1" x14ac:dyDescent="0.25">
      <c r="A51" s="1311"/>
      <c r="B51" s="1312"/>
      <c r="C51" s="1311"/>
      <c r="D51" s="68" t="s">
        <v>31</v>
      </c>
      <c r="E51" s="72">
        <f t="shared" si="3"/>
        <v>0</v>
      </c>
      <c r="F51" s="546">
        <v>0</v>
      </c>
      <c r="G51" s="547">
        <v>0</v>
      </c>
      <c r="H51" s="548">
        <v>0</v>
      </c>
      <c r="I51" s="549">
        <v>0</v>
      </c>
    </row>
    <row r="52" spans="1:9" outlineLevel="1" x14ac:dyDescent="0.25">
      <c r="A52" s="1311"/>
      <c r="B52" s="1312"/>
      <c r="C52" s="1311"/>
      <c r="D52" s="68" t="s">
        <v>32</v>
      </c>
      <c r="E52" s="72">
        <f t="shared" si="3"/>
        <v>0</v>
      </c>
      <c r="F52" s="546">
        <v>0</v>
      </c>
      <c r="G52" s="547">
        <v>0</v>
      </c>
      <c r="H52" s="548">
        <v>0</v>
      </c>
      <c r="I52" s="549">
        <v>0</v>
      </c>
    </row>
    <row r="53" spans="1:9" outlineLevel="1" x14ac:dyDescent="0.25">
      <c r="A53" s="1311"/>
      <c r="B53" s="1312"/>
      <c r="C53" s="1311"/>
      <c r="D53" s="68" t="s">
        <v>33</v>
      </c>
      <c r="E53" s="72">
        <f t="shared" si="3"/>
        <v>0</v>
      </c>
      <c r="F53" s="546">
        <v>0</v>
      </c>
      <c r="G53" s="547">
        <v>0</v>
      </c>
      <c r="H53" s="548">
        <v>0</v>
      </c>
      <c r="I53" s="549">
        <v>0</v>
      </c>
    </row>
    <row r="54" spans="1:9" ht="15.75" outlineLevel="1" thickBot="1" x14ac:dyDescent="0.3">
      <c r="A54" s="1311"/>
      <c r="B54" s="1312"/>
      <c r="C54" s="1311"/>
      <c r="D54" s="69" t="s">
        <v>34</v>
      </c>
      <c r="E54" s="73">
        <f t="shared" si="3"/>
        <v>0</v>
      </c>
      <c r="F54" s="551">
        <v>0</v>
      </c>
      <c r="G54" s="552">
        <v>0</v>
      </c>
      <c r="H54" s="553">
        <v>0</v>
      </c>
      <c r="I54" s="554">
        <v>0</v>
      </c>
    </row>
    <row r="55" spans="1:9" outlineLevel="1" x14ac:dyDescent="0.25">
      <c r="A55" s="1311" t="s">
        <v>96</v>
      </c>
      <c r="B55" s="1312"/>
      <c r="C55" s="1312"/>
      <c r="D55" s="67" t="s">
        <v>25</v>
      </c>
      <c r="E55" s="72">
        <f t="shared" si="3"/>
        <v>0</v>
      </c>
      <c r="F55" s="541">
        <v>0</v>
      </c>
      <c r="G55" s="542">
        <v>0</v>
      </c>
      <c r="H55" s="543">
        <v>0</v>
      </c>
      <c r="I55" s="544">
        <v>0</v>
      </c>
    </row>
    <row r="56" spans="1:9" outlineLevel="1" x14ac:dyDescent="0.25">
      <c r="A56" s="1311"/>
      <c r="B56" s="1312"/>
      <c r="C56" s="1312"/>
      <c r="D56" s="68" t="s">
        <v>26</v>
      </c>
      <c r="E56" s="72">
        <f t="shared" si="3"/>
        <v>0</v>
      </c>
      <c r="F56" s="546">
        <v>0</v>
      </c>
      <c r="G56" s="547">
        <v>0</v>
      </c>
      <c r="H56" s="548">
        <v>0</v>
      </c>
      <c r="I56" s="549">
        <v>0</v>
      </c>
    </row>
    <row r="57" spans="1:9" outlineLevel="1" x14ac:dyDescent="0.25">
      <c r="A57" s="1311"/>
      <c r="B57" s="1312"/>
      <c r="C57" s="1312"/>
      <c r="D57" s="68" t="s">
        <v>27</v>
      </c>
      <c r="E57" s="72">
        <f t="shared" si="3"/>
        <v>0</v>
      </c>
      <c r="F57" s="546">
        <v>0</v>
      </c>
      <c r="G57" s="547">
        <v>0</v>
      </c>
      <c r="H57" s="548">
        <v>0</v>
      </c>
      <c r="I57" s="549">
        <v>0</v>
      </c>
    </row>
    <row r="58" spans="1:9" outlineLevel="1" x14ac:dyDescent="0.25">
      <c r="A58" s="1311"/>
      <c r="B58" s="1312"/>
      <c r="C58" s="1312"/>
      <c r="D58" s="68" t="s">
        <v>28</v>
      </c>
      <c r="E58" s="72">
        <f t="shared" si="3"/>
        <v>0</v>
      </c>
      <c r="F58" s="546">
        <v>0</v>
      </c>
      <c r="G58" s="547">
        <v>0</v>
      </c>
      <c r="H58" s="548">
        <v>0</v>
      </c>
      <c r="I58" s="549">
        <v>0</v>
      </c>
    </row>
    <row r="59" spans="1:9" outlineLevel="1" x14ac:dyDescent="0.25">
      <c r="A59" s="1311"/>
      <c r="B59" s="1312"/>
      <c r="C59" s="1312"/>
      <c r="D59" s="68" t="s">
        <v>29</v>
      </c>
      <c r="E59" s="72">
        <f t="shared" si="3"/>
        <v>0</v>
      </c>
      <c r="F59" s="546">
        <v>0</v>
      </c>
      <c r="G59" s="547">
        <v>0</v>
      </c>
      <c r="H59" s="548">
        <v>0</v>
      </c>
      <c r="I59" s="549">
        <v>0</v>
      </c>
    </row>
    <row r="60" spans="1:9" outlineLevel="1" x14ac:dyDescent="0.25">
      <c r="A60" s="1311"/>
      <c r="B60" s="1312"/>
      <c r="C60" s="1312"/>
      <c r="D60" s="68" t="s">
        <v>30</v>
      </c>
      <c r="E60" s="72">
        <f t="shared" si="3"/>
        <v>0</v>
      </c>
      <c r="F60" s="546">
        <v>0</v>
      </c>
      <c r="G60" s="547">
        <v>0</v>
      </c>
      <c r="H60" s="548">
        <v>0</v>
      </c>
      <c r="I60" s="549">
        <v>0</v>
      </c>
    </row>
    <row r="61" spans="1:9" outlineLevel="1" x14ac:dyDescent="0.25">
      <c r="A61" s="1311"/>
      <c r="B61" s="1312"/>
      <c r="C61" s="1312"/>
      <c r="D61" s="68" t="s">
        <v>31</v>
      </c>
      <c r="E61" s="72">
        <f t="shared" si="3"/>
        <v>0</v>
      </c>
      <c r="F61" s="546">
        <v>0</v>
      </c>
      <c r="G61" s="547">
        <v>0</v>
      </c>
      <c r="H61" s="548">
        <v>0</v>
      </c>
      <c r="I61" s="549">
        <v>0</v>
      </c>
    </row>
    <row r="62" spans="1:9" outlineLevel="1" x14ac:dyDescent="0.25">
      <c r="A62" s="1311"/>
      <c r="B62" s="1312"/>
      <c r="C62" s="1312"/>
      <c r="D62" s="68" t="s">
        <v>32</v>
      </c>
      <c r="E62" s="72">
        <f t="shared" si="3"/>
        <v>0</v>
      </c>
      <c r="F62" s="546">
        <v>0</v>
      </c>
      <c r="G62" s="547">
        <v>0</v>
      </c>
      <c r="H62" s="548">
        <v>0</v>
      </c>
      <c r="I62" s="549">
        <v>0</v>
      </c>
    </row>
    <row r="63" spans="1:9" outlineLevel="1" x14ac:dyDescent="0.25">
      <c r="A63" s="1311"/>
      <c r="B63" s="1312"/>
      <c r="C63" s="1312"/>
      <c r="D63" s="68" t="s">
        <v>33</v>
      </c>
      <c r="E63" s="72">
        <f t="shared" si="3"/>
        <v>0</v>
      </c>
      <c r="F63" s="546">
        <v>0</v>
      </c>
      <c r="G63" s="547">
        <v>0</v>
      </c>
      <c r="H63" s="548">
        <v>0</v>
      </c>
      <c r="I63" s="549">
        <v>0</v>
      </c>
    </row>
    <row r="64" spans="1:9" ht="15.75" outlineLevel="1" thickBot="1" x14ac:dyDescent="0.3">
      <c r="A64" s="1311"/>
      <c r="B64" s="1312"/>
      <c r="C64" s="1312"/>
      <c r="D64" s="69" t="s">
        <v>34</v>
      </c>
      <c r="E64" s="73">
        <f t="shared" si="3"/>
        <v>0</v>
      </c>
      <c r="F64" s="551">
        <v>0</v>
      </c>
      <c r="G64" s="552">
        <v>0</v>
      </c>
      <c r="H64" s="553">
        <v>0</v>
      </c>
      <c r="I64" s="554">
        <v>0</v>
      </c>
    </row>
    <row r="65" spans="1:9" outlineLevel="1" x14ac:dyDescent="0.25">
      <c r="A65" s="1311" t="s">
        <v>97</v>
      </c>
      <c r="B65" s="1312"/>
      <c r="C65" s="1312"/>
      <c r="D65" s="67" t="s">
        <v>25</v>
      </c>
      <c r="E65" s="72">
        <f t="shared" si="3"/>
        <v>0</v>
      </c>
      <c r="F65" s="541">
        <v>0</v>
      </c>
      <c r="G65" s="542">
        <v>0</v>
      </c>
      <c r="H65" s="543">
        <v>0</v>
      </c>
      <c r="I65" s="544">
        <v>0</v>
      </c>
    </row>
    <row r="66" spans="1:9" outlineLevel="1" x14ac:dyDescent="0.25">
      <c r="A66" s="1311"/>
      <c r="B66" s="1312"/>
      <c r="C66" s="1312"/>
      <c r="D66" s="68" t="s">
        <v>26</v>
      </c>
      <c r="E66" s="72">
        <f t="shared" si="3"/>
        <v>0</v>
      </c>
      <c r="F66" s="546">
        <v>0</v>
      </c>
      <c r="G66" s="547">
        <v>0</v>
      </c>
      <c r="H66" s="548">
        <v>0</v>
      </c>
      <c r="I66" s="549">
        <v>0</v>
      </c>
    </row>
    <row r="67" spans="1:9" outlineLevel="1" x14ac:dyDescent="0.25">
      <c r="A67" s="1311"/>
      <c r="B67" s="1312"/>
      <c r="C67" s="1312"/>
      <c r="D67" s="68" t="s">
        <v>27</v>
      </c>
      <c r="E67" s="72">
        <f t="shared" ref="E67:E84" si="5">SUM(F67:I67)</f>
        <v>0</v>
      </c>
      <c r="F67" s="546">
        <v>0</v>
      </c>
      <c r="G67" s="547">
        <v>0</v>
      </c>
      <c r="H67" s="548">
        <v>0</v>
      </c>
      <c r="I67" s="549">
        <v>0</v>
      </c>
    </row>
    <row r="68" spans="1:9" outlineLevel="1" x14ac:dyDescent="0.25">
      <c r="A68" s="1311"/>
      <c r="B68" s="1312"/>
      <c r="C68" s="1312"/>
      <c r="D68" s="68" t="s">
        <v>28</v>
      </c>
      <c r="E68" s="72">
        <f t="shared" si="5"/>
        <v>0</v>
      </c>
      <c r="F68" s="546">
        <v>0</v>
      </c>
      <c r="G68" s="547">
        <v>0</v>
      </c>
      <c r="H68" s="548">
        <v>0</v>
      </c>
      <c r="I68" s="549">
        <v>0</v>
      </c>
    </row>
    <row r="69" spans="1:9" outlineLevel="1" x14ac:dyDescent="0.25">
      <c r="A69" s="1311"/>
      <c r="B69" s="1312"/>
      <c r="C69" s="1312"/>
      <c r="D69" s="68" t="s">
        <v>29</v>
      </c>
      <c r="E69" s="72">
        <f t="shared" si="5"/>
        <v>0</v>
      </c>
      <c r="F69" s="546">
        <v>0</v>
      </c>
      <c r="G69" s="547">
        <v>0</v>
      </c>
      <c r="H69" s="548">
        <v>0</v>
      </c>
      <c r="I69" s="549">
        <v>0</v>
      </c>
    </row>
    <row r="70" spans="1:9" outlineLevel="1" x14ac:dyDescent="0.25">
      <c r="A70" s="1311"/>
      <c r="B70" s="1312"/>
      <c r="C70" s="1312"/>
      <c r="D70" s="68" t="s">
        <v>30</v>
      </c>
      <c r="E70" s="72">
        <f t="shared" si="5"/>
        <v>0</v>
      </c>
      <c r="F70" s="546">
        <v>0</v>
      </c>
      <c r="G70" s="547">
        <v>0</v>
      </c>
      <c r="H70" s="548">
        <v>0</v>
      </c>
      <c r="I70" s="549">
        <v>0</v>
      </c>
    </row>
    <row r="71" spans="1:9" outlineLevel="1" x14ac:dyDescent="0.25">
      <c r="A71" s="1311"/>
      <c r="B71" s="1312"/>
      <c r="C71" s="1312"/>
      <c r="D71" s="68" t="s">
        <v>31</v>
      </c>
      <c r="E71" s="72">
        <f t="shared" si="5"/>
        <v>0</v>
      </c>
      <c r="F71" s="546">
        <v>0</v>
      </c>
      <c r="G71" s="547">
        <v>0</v>
      </c>
      <c r="H71" s="548">
        <v>0</v>
      </c>
      <c r="I71" s="549">
        <v>0</v>
      </c>
    </row>
    <row r="72" spans="1:9" outlineLevel="1" x14ac:dyDescent="0.25">
      <c r="A72" s="1311"/>
      <c r="B72" s="1312"/>
      <c r="C72" s="1312"/>
      <c r="D72" s="68" t="s">
        <v>32</v>
      </c>
      <c r="E72" s="72">
        <f t="shared" si="5"/>
        <v>0</v>
      </c>
      <c r="F72" s="546">
        <v>0</v>
      </c>
      <c r="G72" s="547">
        <v>0</v>
      </c>
      <c r="H72" s="548">
        <v>0</v>
      </c>
      <c r="I72" s="549">
        <v>0</v>
      </c>
    </row>
    <row r="73" spans="1:9" outlineLevel="1" x14ac:dyDescent="0.25">
      <c r="A73" s="1311"/>
      <c r="B73" s="1312"/>
      <c r="C73" s="1312"/>
      <c r="D73" s="68" t="s">
        <v>33</v>
      </c>
      <c r="E73" s="72">
        <f t="shared" si="5"/>
        <v>0</v>
      </c>
      <c r="F73" s="546">
        <v>0</v>
      </c>
      <c r="G73" s="547">
        <v>0</v>
      </c>
      <c r="H73" s="548">
        <v>0</v>
      </c>
      <c r="I73" s="549">
        <v>0</v>
      </c>
    </row>
    <row r="74" spans="1:9" ht="15.75" outlineLevel="1" thickBot="1" x14ac:dyDescent="0.3">
      <c r="A74" s="1311"/>
      <c r="B74" s="1312"/>
      <c r="C74" s="1312"/>
      <c r="D74" s="69" t="s">
        <v>34</v>
      </c>
      <c r="E74" s="73">
        <f t="shared" si="5"/>
        <v>0</v>
      </c>
      <c r="F74" s="551">
        <v>0</v>
      </c>
      <c r="G74" s="552">
        <v>0</v>
      </c>
      <c r="H74" s="553">
        <v>0</v>
      </c>
      <c r="I74" s="554">
        <v>0</v>
      </c>
    </row>
    <row r="75" spans="1:9" outlineLevel="1" x14ac:dyDescent="0.25">
      <c r="A75" s="1311" t="s">
        <v>92</v>
      </c>
      <c r="B75" s="1312" t="s">
        <v>78</v>
      </c>
      <c r="C75" s="1311" t="s">
        <v>339</v>
      </c>
      <c r="D75" s="67" t="s">
        <v>25</v>
      </c>
      <c r="E75" s="72">
        <f t="shared" si="5"/>
        <v>0</v>
      </c>
      <c r="F75" s="541">
        <v>0</v>
      </c>
      <c r="G75" s="542">
        <v>0</v>
      </c>
      <c r="H75" s="543">
        <v>0</v>
      </c>
      <c r="I75" s="544">
        <v>0</v>
      </c>
    </row>
    <row r="76" spans="1:9" outlineLevel="1" x14ac:dyDescent="0.25">
      <c r="A76" s="1311"/>
      <c r="B76" s="1312"/>
      <c r="C76" s="1311"/>
      <c r="D76" s="68" t="s">
        <v>26</v>
      </c>
      <c r="E76" s="72">
        <f t="shared" si="5"/>
        <v>0</v>
      </c>
      <c r="F76" s="546">
        <v>0</v>
      </c>
      <c r="G76" s="547">
        <v>0</v>
      </c>
      <c r="H76" s="548">
        <v>0</v>
      </c>
      <c r="I76" s="549">
        <v>0</v>
      </c>
    </row>
    <row r="77" spans="1:9" outlineLevel="1" x14ac:dyDescent="0.25">
      <c r="A77" s="1311"/>
      <c r="B77" s="1312"/>
      <c r="C77" s="1311"/>
      <c r="D77" s="68" t="s">
        <v>27</v>
      </c>
      <c r="E77" s="72">
        <f t="shared" si="5"/>
        <v>0</v>
      </c>
      <c r="F77" s="546">
        <v>0</v>
      </c>
      <c r="G77" s="547">
        <v>0</v>
      </c>
      <c r="H77" s="548">
        <v>0</v>
      </c>
      <c r="I77" s="549">
        <v>0</v>
      </c>
    </row>
    <row r="78" spans="1:9" outlineLevel="1" x14ac:dyDescent="0.25">
      <c r="A78" s="1311"/>
      <c r="B78" s="1312"/>
      <c r="C78" s="1311"/>
      <c r="D78" s="68" t="s">
        <v>28</v>
      </c>
      <c r="E78" s="72">
        <f t="shared" si="5"/>
        <v>0</v>
      </c>
      <c r="F78" s="546">
        <v>0</v>
      </c>
      <c r="G78" s="547">
        <v>0</v>
      </c>
      <c r="H78" s="548">
        <v>0</v>
      </c>
      <c r="I78" s="549">
        <v>0</v>
      </c>
    </row>
    <row r="79" spans="1:9" outlineLevel="1" x14ac:dyDescent="0.25">
      <c r="A79" s="1311"/>
      <c r="B79" s="1312"/>
      <c r="C79" s="1311"/>
      <c r="D79" s="68" t="s">
        <v>29</v>
      </c>
      <c r="E79" s="72">
        <f t="shared" si="5"/>
        <v>0</v>
      </c>
      <c r="F79" s="546">
        <v>0</v>
      </c>
      <c r="G79" s="547">
        <v>0</v>
      </c>
      <c r="H79" s="548">
        <v>0</v>
      </c>
      <c r="I79" s="549">
        <v>0</v>
      </c>
    </row>
    <row r="80" spans="1:9" outlineLevel="1" x14ac:dyDescent="0.25">
      <c r="A80" s="1311"/>
      <c r="B80" s="1312"/>
      <c r="C80" s="1311"/>
      <c r="D80" s="68" t="s">
        <v>30</v>
      </c>
      <c r="E80" s="72">
        <f t="shared" si="5"/>
        <v>0</v>
      </c>
      <c r="F80" s="546">
        <v>0</v>
      </c>
      <c r="G80" s="547">
        <v>0</v>
      </c>
      <c r="H80" s="548">
        <v>0</v>
      </c>
      <c r="I80" s="549">
        <v>0</v>
      </c>
    </row>
    <row r="81" spans="1:9" outlineLevel="1" x14ac:dyDescent="0.25">
      <c r="A81" s="1311"/>
      <c r="B81" s="1312"/>
      <c r="C81" s="1311"/>
      <c r="D81" s="68" t="s">
        <v>31</v>
      </c>
      <c r="E81" s="72">
        <f t="shared" si="5"/>
        <v>0</v>
      </c>
      <c r="F81" s="546">
        <v>0</v>
      </c>
      <c r="G81" s="547">
        <v>0</v>
      </c>
      <c r="H81" s="548">
        <v>0</v>
      </c>
      <c r="I81" s="549">
        <v>0</v>
      </c>
    </row>
    <row r="82" spans="1:9" outlineLevel="1" x14ac:dyDescent="0.25">
      <c r="A82" s="1311"/>
      <c r="B82" s="1312"/>
      <c r="C82" s="1311"/>
      <c r="D82" s="68" t="s">
        <v>32</v>
      </c>
      <c r="E82" s="72">
        <f t="shared" si="5"/>
        <v>0</v>
      </c>
      <c r="F82" s="546">
        <v>0</v>
      </c>
      <c r="G82" s="547">
        <v>0</v>
      </c>
      <c r="H82" s="548">
        <v>0</v>
      </c>
      <c r="I82" s="549">
        <v>0</v>
      </c>
    </row>
    <row r="83" spans="1:9" outlineLevel="1" x14ac:dyDescent="0.25">
      <c r="A83" s="1311"/>
      <c r="B83" s="1312"/>
      <c r="C83" s="1311"/>
      <c r="D83" s="68" t="s">
        <v>33</v>
      </c>
      <c r="E83" s="72">
        <f t="shared" si="5"/>
        <v>0</v>
      </c>
      <c r="F83" s="546">
        <v>0</v>
      </c>
      <c r="G83" s="547">
        <v>0</v>
      </c>
      <c r="H83" s="548">
        <v>0</v>
      </c>
      <c r="I83" s="549">
        <v>0</v>
      </c>
    </row>
    <row r="84" spans="1:9" ht="15.75" outlineLevel="1" thickBot="1" x14ac:dyDescent="0.3">
      <c r="A84" s="1311"/>
      <c r="B84" s="1312"/>
      <c r="C84" s="1311"/>
      <c r="D84" s="69" t="s">
        <v>34</v>
      </c>
      <c r="E84" s="73">
        <f t="shared" si="5"/>
        <v>0</v>
      </c>
      <c r="F84" s="551">
        <v>0</v>
      </c>
      <c r="G84" s="552">
        <v>0</v>
      </c>
      <c r="H84" s="553">
        <v>0</v>
      </c>
      <c r="I84" s="554">
        <v>0</v>
      </c>
    </row>
    <row r="86" spans="1:9" x14ac:dyDescent="0.25">
      <c r="E86" s="569">
        <f>SUM(F86:H86)</f>
        <v>1851565.8559999999</v>
      </c>
      <c r="F86" s="569">
        <f>F3+F34</f>
        <v>262381.85599999997</v>
      </c>
      <c r="G86" s="569">
        <f>G3+G34</f>
        <v>1589184</v>
      </c>
      <c r="H86" s="569">
        <f>H3+H34</f>
        <v>0</v>
      </c>
      <c r="I86" s="569"/>
    </row>
    <row r="88" spans="1:9" x14ac:dyDescent="0.25">
      <c r="E88" s="694" t="s">
        <v>552</v>
      </c>
      <c r="F88" s="695">
        <v>0</v>
      </c>
      <c r="G88" s="695">
        <f>F88</f>
        <v>0</v>
      </c>
      <c r="H88" s="695">
        <f>F88</f>
        <v>0</v>
      </c>
      <c r="I88" s="695">
        <f>F88</f>
        <v>0</v>
      </c>
    </row>
  </sheetData>
  <mergeCells count="27">
    <mergeCell ref="A3:C3"/>
    <mergeCell ref="A24:A33"/>
    <mergeCell ref="B24:B33"/>
    <mergeCell ref="C24:C33"/>
    <mergeCell ref="A34:C34"/>
    <mergeCell ref="A4:A13"/>
    <mergeCell ref="B4:B13"/>
    <mergeCell ref="C4:C13"/>
    <mergeCell ref="A14:A23"/>
    <mergeCell ref="B14:B23"/>
    <mergeCell ref="C14:C23"/>
    <mergeCell ref="A1:D1"/>
    <mergeCell ref="A65:A74"/>
    <mergeCell ref="B65:B74"/>
    <mergeCell ref="C65:C74"/>
    <mergeCell ref="A75:A84"/>
    <mergeCell ref="B75:B84"/>
    <mergeCell ref="C75:C84"/>
    <mergeCell ref="A45:A54"/>
    <mergeCell ref="B45:B54"/>
    <mergeCell ref="C45:C54"/>
    <mergeCell ref="A55:A64"/>
    <mergeCell ref="B55:B64"/>
    <mergeCell ref="C55:C64"/>
    <mergeCell ref="A35:A44"/>
    <mergeCell ref="B35:B44"/>
    <mergeCell ref="C35:C44"/>
  </mergeCells>
  <pageMargins left="0.7" right="0.7" top="0.75" bottom="0.75" header="0.3" footer="0.3"/>
  <pageSetup paperSize="9" scale="39" orientation="portrait" r:id="rId1"/>
  <ignoredErrors>
    <ignoredError sqref="E34" formula="1"/>
  </ignoredError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C1DF0-5A12-452E-8FFF-03F1A92CD5E4}">
  <sheetPr>
    <tabColor theme="5" tint="0.39997558519241921"/>
  </sheetPr>
  <dimension ref="A3:G33"/>
  <sheetViews>
    <sheetView topLeftCell="B2" zoomScaleNormal="100" workbookViewId="0">
      <selection activeCell="C47" sqref="C47"/>
    </sheetView>
  </sheetViews>
  <sheetFormatPr defaultRowHeight="15" x14ac:dyDescent="0.25"/>
  <cols>
    <col min="1" max="1" width="56" bestFit="1" customWidth="1"/>
    <col min="2" max="2" width="49.42578125" customWidth="1"/>
    <col min="3" max="3" width="23.5703125" bestFit="1" customWidth="1"/>
    <col min="4" max="4" width="56.42578125" bestFit="1" customWidth="1"/>
    <col min="5" max="5" width="20" bestFit="1" customWidth="1"/>
    <col min="6" max="7" width="19.5703125" bestFit="1" customWidth="1"/>
    <col min="8" max="8" width="39" bestFit="1" customWidth="1"/>
    <col min="9" max="9" width="30.5703125" bestFit="1" customWidth="1"/>
    <col min="10" max="10" width="31" bestFit="1" customWidth="1"/>
    <col min="11" max="11" width="30.5703125" bestFit="1" customWidth="1"/>
    <col min="12" max="12" width="35.5703125" bestFit="1" customWidth="1"/>
    <col min="13" max="13" width="35.140625" bestFit="1" customWidth="1"/>
    <col min="14" max="14" width="35.5703125" bestFit="1" customWidth="1"/>
    <col min="15" max="15" width="35.140625" bestFit="1" customWidth="1"/>
    <col min="16" max="16" width="8" bestFit="1" customWidth="1"/>
    <col min="17" max="17" width="9" bestFit="1" customWidth="1"/>
    <col min="18" max="19" width="6" bestFit="1" customWidth="1"/>
    <col min="20" max="20" width="10" bestFit="1" customWidth="1"/>
    <col min="21" max="22" width="6" bestFit="1" customWidth="1"/>
    <col min="23" max="23" width="9" bestFit="1" customWidth="1"/>
    <col min="24" max="26" width="6" bestFit="1" customWidth="1"/>
    <col min="27" max="27" width="10" bestFit="1" customWidth="1"/>
    <col min="28" max="28" width="6" bestFit="1" customWidth="1"/>
    <col min="29" max="29" width="9" bestFit="1" customWidth="1"/>
    <col min="30" max="31" width="6" bestFit="1" customWidth="1"/>
    <col min="32" max="32" width="9" bestFit="1" customWidth="1"/>
    <col min="33" max="37" width="6" bestFit="1" customWidth="1"/>
    <col min="38" max="40" width="7" bestFit="1" customWidth="1"/>
    <col min="41" max="41" width="42.42578125" bestFit="1" customWidth="1"/>
    <col min="42" max="42" width="25.5703125" bestFit="1" customWidth="1"/>
    <col min="43" max="43" width="7" bestFit="1" customWidth="1"/>
    <col min="44" max="44" width="28.5703125" bestFit="1" customWidth="1"/>
    <col min="45" max="45" width="41" bestFit="1" customWidth="1"/>
    <col min="46" max="46" width="7" bestFit="1" customWidth="1"/>
    <col min="47" max="47" width="43.85546875" bestFit="1" customWidth="1"/>
    <col min="48" max="48" width="41" bestFit="1" customWidth="1"/>
    <col min="49" max="49" width="43.5703125" bestFit="1" customWidth="1"/>
    <col min="50" max="50" width="20.140625" bestFit="1" customWidth="1"/>
    <col min="51" max="51" width="5" bestFit="1" customWidth="1"/>
    <col min="52" max="52" width="6" bestFit="1" customWidth="1"/>
    <col min="53" max="53" width="7" bestFit="1" customWidth="1"/>
    <col min="54" max="54" width="23" bestFit="1" customWidth="1"/>
    <col min="55" max="55" width="9" bestFit="1" customWidth="1"/>
    <col min="56" max="56" width="11.5703125" bestFit="1" customWidth="1"/>
    <col min="57" max="57" width="11" bestFit="1" customWidth="1"/>
  </cols>
  <sheetData>
    <row r="3" spans="1:7" x14ac:dyDescent="0.25">
      <c r="A3" s="892" t="s">
        <v>765</v>
      </c>
      <c r="B3" s="892" t="s">
        <v>770</v>
      </c>
      <c r="C3" s="892" t="s">
        <v>767</v>
      </c>
      <c r="D3" s="892" t="s">
        <v>944</v>
      </c>
      <c r="E3" t="s">
        <v>945</v>
      </c>
      <c r="F3" t="s">
        <v>946</v>
      </c>
      <c r="G3" t="s">
        <v>1032</v>
      </c>
    </row>
    <row r="4" spans="1:7" x14ac:dyDescent="0.25">
      <c r="A4" t="s">
        <v>798</v>
      </c>
      <c r="B4" t="s">
        <v>816</v>
      </c>
      <c r="C4" t="s">
        <v>800</v>
      </c>
      <c r="D4" t="s">
        <v>797</v>
      </c>
      <c r="E4" s="992">
        <v>3960</v>
      </c>
      <c r="F4" s="992"/>
      <c r="G4" s="992"/>
    </row>
    <row r="5" spans="1:7" x14ac:dyDescent="0.25">
      <c r="D5" t="s">
        <v>860</v>
      </c>
      <c r="E5" s="992"/>
      <c r="F5" s="992">
        <v>3660</v>
      </c>
      <c r="G5" s="992"/>
    </row>
    <row r="6" spans="1:7" x14ac:dyDescent="0.25">
      <c r="D6" t="s">
        <v>909</v>
      </c>
      <c r="E6" s="992"/>
      <c r="F6" s="992"/>
      <c r="G6" s="992">
        <v>1080</v>
      </c>
    </row>
    <row r="7" spans="1:7" x14ac:dyDescent="0.25">
      <c r="D7" t="s">
        <v>319</v>
      </c>
      <c r="E7" s="992"/>
      <c r="F7" s="992">
        <v>2400</v>
      </c>
      <c r="G7" s="992"/>
    </row>
    <row r="8" spans="1:7" x14ac:dyDescent="0.25">
      <c r="B8" t="s">
        <v>813</v>
      </c>
      <c r="C8" t="s">
        <v>800</v>
      </c>
      <c r="D8" t="s">
        <v>797</v>
      </c>
      <c r="E8" s="992">
        <v>10560</v>
      </c>
      <c r="F8" s="992"/>
      <c r="G8" s="992"/>
    </row>
    <row r="9" spans="1:7" x14ac:dyDescent="0.25">
      <c r="D9" t="s">
        <v>860</v>
      </c>
      <c r="E9" s="992"/>
      <c r="F9" s="992">
        <v>77280</v>
      </c>
      <c r="G9" s="992"/>
    </row>
    <row r="10" spans="1:7" x14ac:dyDescent="0.25">
      <c r="D10" t="s">
        <v>909</v>
      </c>
      <c r="E10" s="992"/>
      <c r="F10" s="992"/>
      <c r="G10" s="992">
        <v>2700</v>
      </c>
    </row>
    <row r="11" spans="1:7" x14ac:dyDescent="0.25">
      <c r="D11" t="s">
        <v>319</v>
      </c>
      <c r="E11" s="992"/>
      <c r="F11" s="992">
        <v>11520</v>
      </c>
      <c r="G11" s="992"/>
    </row>
    <row r="12" spans="1:7" x14ac:dyDescent="0.25">
      <c r="C12" t="s">
        <v>994</v>
      </c>
      <c r="D12" t="s">
        <v>857</v>
      </c>
      <c r="E12" s="992"/>
      <c r="F12" s="992">
        <v>794592</v>
      </c>
      <c r="G12" s="992"/>
    </row>
    <row r="13" spans="1:7" x14ac:dyDescent="0.25">
      <c r="B13" t="s">
        <v>323</v>
      </c>
      <c r="C13" t="s">
        <v>800</v>
      </c>
      <c r="D13" t="s">
        <v>797</v>
      </c>
      <c r="E13" s="992">
        <v>24360</v>
      </c>
      <c r="F13" s="992"/>
      <c r="G13" s="992"/>
    </row>
    <row r="14" spans="1:7" x14ac:dyDescent="0.25">
      <c r="D14" t="s">
        <v>860</v>
      </c>
      <c r="E14" s="992"/>
      <c r="F14" s="992">
        <v>61440</v>
      </c>
      <c r="G14" s="992"/>
    </row>
    <row r="15" spans="1:7" x14ac:dyDescent="0.25">
      <c r="D15" t="s">
        <v>909</v>
      </c>
      <c r="E15" s="992"/>
      <c r="F15" s="992"/>
      <c r="G15" s="992">
        <v>1080</v>
      </c>
    </row>
    <row r="16" spans="1:7" x14ac:dyDescent="0.25">
      <c r="D16" t="s">
        <v>319</v>
      </c>
      <c r="E16" s="992"/>
      <c r="F16" s="992">
        <v>11520</v>
      </c>
      <c r="G16" s="992"/>
    </row>
    <row r="17" spans="1:7" x14ac:dyDescent="0.25">
      <c r="B17" t="s">
        <v>731</v>
      </c>
      <c r="C17" t="s">
        <v>800</v>
      </c>
      <c r="D17" t="s">
        <v>797</v>
      </c>
      <c r="E17" s="992">
        <v>1091040</v>
      </c>
      <c r="F17" s="992"/>
      <c r="G17" s="992"/>
    </row>
    <row r="18" spans="1:7" x14ac:dyDescent="0.25">
      <c r="D18" t="s">
        <v>860</v>
      </c>
      <c r="E18" s="992"/>
      <c r="F18" s="992">
        <v>1403040</v>
      </c>
      <c r="G18" s="992"/>
    </row>
    <row r="19" spans="1:7" x14ac:dyDescent="0.25">
      <c r="D19" t="s">
        <v>909</v>
      </c>
      <c r="E19" s="992"/>
      <c r="F19" s="992"/>
      <c r="G19" s="992">
        <v>16740</v>
      </c>
    </row>
    <row r="20" spans="1:7" x14ac:dyDescent="0.25">
      <c r="D20" t="s">
        <v>319</v>
      </c>
      <c r="E20" s="992"/>
      <c r="F20" s="992">
        <v>265920</v>
      </c>
      <c r="G20" s="992"/>
    </row>
    <row r="21" spans="1:7" x14ac:dyDescent="0.25">
      <c r="D21" t="s">
        <v>857</v>
      </c>
      <c r="E21" s="992"/>
      <c r="F21" s="992">
        <v>233578.71999999997</v>
      </c>
      <c r="G21" s="992"/>
    </row>
    <row r="22" spans="1:7" x14ac:dyDescent="0.25">
      <c r="C22" t="s">
        <v>928</v>
      </c>
      <c r="D22" t="s">
        <v>797</v>
      </c>
      <c r="E22" s="992">
        <v>197154.1</v>
      </c>
      <c r="F22" s="992"/>
      <c r="G22" s="992"/>
    </row>
    <row r="23" spans="1:7" x14ac:dyDescent="0.25">
      <c r="D23" t="s">
        <v>860</v>
      </c>
      <c r="E23" s="992"/>
      <c r="F23" s="992">
        <v>127392.53</v>
      </c>
      <c r="G23" s="992"/>
    </row>
    <row r="24" spans="1:7" x14ac:dyDescent="0.25">
      <c r="D24" t="s">
        <v>909</v>
      </c>
      <c r="E24" s="992"/>
      <c r="F24" s="992"/>
      <c r="G24" s="992">
        <v>36054.92</v>
      </c>
    </row>
    <row r="25" spans="1:7" x14ac:dyDescent="0.25">
      <c r="D25" t="s">
        <v>319</v>
      </c>
      <c r="E25" s="992"/>
      <c r="F25" s="992">
        <v>65981.650000000009</v>
      </c>
      <c r="G25" s="992"/>
    </row>
    <row r="26" spans="1:7" x14ac:dyDescent="0.25">
      <c r="C26" t="s">
        <v>994</v>
      </c>
      <c r="D26" t="s">
        <v>857</v>
      </c>
      <c r="E26" s="992"/>
      <c r="F26" s="992">
        <v>5992.32</v>
      </c>
      <c r="G26" s="992"/>
    </row>
    <row r="27" spans="1:7" x14ac:dyDescent="0.25">
      <c r="A27" t="s">
        <v>927</v>
      </c>
      <c r="B27" t="s">
        <v>731</v>
      </c>
      <c r="C27" t="s">
        <v>932</v>
      </c>
      <c r="D27" t="s">
        <v>265</v>
      </c>
      <c r="E27" s="992">
        <v>0</v>
      </c>
      <c r="F27" s="992"/>
      <c r="G27" s="992"/>
    </row>
    <row r="28" spans="1:7" x14ac:dyDescent="0.25">
      <c r="C28" t="s">
        <v>928</v>
      </c>
      <c r="D28" t="s">
        <v>265</v>
      </c>
      <c r="E28" s="992">
        <v>69097.588000000003</v>
      </c>
      <c r="F28" s="992">
        <v>69097.588000000003</v>
      </c>
      <c r="G28" s="992">
        <v>34548.794000000002</v>
      </c>
    </row>
    <row r="29" spans="1:7" x14ac:dyDescent="0.25">
      <c r="D29" t="s">
        <v>147</v>
      </c>
      <c r="E29" s="992">
        <v>0</v>
      </c>
      <c r="F29" s="992">
        <v>0</v>
      </c>
      <c r="G29" s="992"/>
    </row>
    <row r="30" spans="1:7" x14ac:dyDescent="0.25">
      <c r="C30" t="s">
        <v>994</v>
      </c>
      <c r="D30" t="s">
        <v>265</v>
      </c>
      <c r="E30" s="992">
        <v>0</v>
      </c>
      <c r="F30" s="992"/>
      <c r="G30" s="992"/>
    </row>
    <row r="31" spans="1:7" x14ac:dyDescent="0.25">
      <c r="C31" t="s">
        <v>984</v>
      </c>
      <c r="D31" t="s">
        <v>265</v>
      </c>
      <c r="E31" s="992">
        <v>7370.1600000000008</v>
      </c>
      <c r="F31" s="992">
        <v>7370.1600000000008</v>
      </c>
      <c r="G31" s="992">
        <v>9445.08</v>
      </c>
    </row>
    <row r="32" spans="1:7" x14ac:dyDescent="0.25">
      <c r="D32" t="s">
        <v>147</v>
      </c>
      <c r="E32" s="992">
        <v>0</v>
      </c>
      <c r="F32" s="992">
        <v>0</v>
      </c>
      <c r="G32" s="992"/>
    </row>
    <row r="33" spans="1:7" x14ac:dyDescent="0.25">
      <c r="A33" t="s">
        <v>737</v>
      </c>
      <c r="E33" s="992">
        <v>1403541.848</v>
      </c>
      <c r="F33" s="992">
        <v>3140784.9679999994</v>
      </c>
      <c r="G33" s="992">
        <v>101648.79400000001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1A790-CA4C-4BF9-B890-C20DF11E4C2B}">
  <sheetPr>
    <tabColor theme="5" tint="0.39997558519241921"/>
  </sheetPr>
  <dimension ref="A1:Y153"/>
  <sheetViews>
    <sheetView zoomScaleNormal="100" workbookViewId="0">
      <pane ySplit="3" topLeftCell="A45" activePane="bottomLeft" state="frozen"/>
      <selection activeCell="C47" sqref="C47"/>
      <selection pane="bottomLeft" activeCell="C47" sqref="C47"/>
    </sheetView>
  </sheetViews>
  <sheetFormatPr defaultRowHeight="15" x14ac:dyDescent="0.25"/>
  <cols>
    <col min="1" max="1" width="7.5703125" bestFit="1" customWidth="1"/>
    <col min="2" max="2" width="11.5703125" customWidth="1"/>
    <col min="3" max="3" width="78.85546875" bestFit="1" customWidth="1"/>
    <col min="4" max="4" width="32.42578125" style="61" customWidth="1"/>
    <col min="5" max="5" width="26.5703125" customWidth="1"/>
    <col min="6" max="7" width="27.5703125" customWidth="1"/>
    <col min="8" max="8" width="37.5703125" bestFit="1" customWidth="1"/>
    <col min="10" max="10" width="9.42578125" customWidth="1"/>
    <col min="11" max="11" width="9.140625" customWidth="1"/>
    <col min="12" max="12" width="24.5703125" bestFit="1" customWidth="1"/>
    <col min="13" max="13" width="19.5703125" customWidth="1"/>
    <col min="14" max="14" width="15" customWidth="1"/>
    <col min="15" max="15" width="9.5703125" customWidth="1"/>
    <col min="16" max="16" width="12.5703125" customWidth="1"/>
    <col min="17" max="17" width="14.5703125" customWidth="1"/>
    <col min="18" max="18" width="11.85546875" customWidth="1"/>
    <col min="19" max="19" width="15.85546875" style="61" customWidth="1"/>
    <col min="20" max="20" width="10" style="61" customWidth="1"/>
    <col min="21" max="21" width="174.42578125" style="61" customWidth="1"/>
    <col min="22" max="22" width="29.5703125" customWidth="1"/>
    <col min="23" max="24" width="19" style="986" bestFit="1" customWidth="1"/>
    <col min="25" max="25" width="19" style="986" customWidth="1"/>
  </cols>
  <sheetData>
    <row r="1" spans="1:25" x14ac:dyDescent="0.25">
      <c r="A1" s="1323" t="s">
        <v>763</v>
      </c>
      <c r="B1" s="1323"/>
      <c r="C1" s="969"/>
      <c r="D1" s="1100"/>
      <c r="E1" s="955"/>
      <c r="F1" s="956"/>
      <c r="G1" s="956"/>
      <c r="H1" s="956"/>
      <c r="I1" s="955"/>
      <c r="T1" s="956"/>
      <c r="U1" s="956"/>
      <c r="V1" s="957"/>
      <c r="W1" s="985"/>
      <c r="X1" s="985"/>
      <c r="Y1" s="985"/>
    </row>
    <row r="2" spans="1:25" ht="51" x14ac:dyDescent="0.25">
      <c r="A2" s="970" t="s">
        <v>764</v>
      </c>
      <c r="B2" s="971" t="s">
        <v>765</v>
      </c>
      <c r="C2" s="970" t="s">
        <v>766</v>
      </c>
      <c r="D2" s="972" t="s">
        <v>944</v>
      </c>
      <c r="E2" s="971" t="s">
        <v>767</v>
      </c>
      <c r="F2" s="971" t="s">
        <v>768</v>
      </c>
      <c r="G2" s="972" t="s">
        <v>769</v>
      </c>
      <c r="H2" s="972" t="s">
        <v>770</v>
      </c>
      <c r="I2" s="971" t="s">
        <v>771</v>
      </c>
      <c r="J2" s="971" t="s">
        <v>772</v>
      </c>
      <c r="K2" s="971" t="s">
        <v>773</v>
      </c>
      <c r="L2" s="971" t="s">
        <v>774</v>
      </c>
      <c r="M2" s="971" t="s">
        <v>775</v>
      </c>
      <c r="N2" s="971" t="s">
        <v>776</v>
      </c>
      <c r="O2" s="971" t="s">
        <v>777</v>
      </c>
      <c r="P2" s="971" t="s">
        <v>778</v>
      </c>
      <c r="Q2" s="971" t="s">
        <v>779</v>
      </c>
      <c r="R2" s="1165" t="s">
        <v>1090</v>
      </c>
      <c r="S2" s="971" t="s">
        <v>780</v>
      </c>
      <c r="T2" s="971" t="s">
        <v>976</v>
      </c>
      <c r="U2" s="971" t="s">
        <v>781</v>
      </c>
      <c r="V2" s="973" t="s">
        <v>782</v>
      </c>
      <c r="W2" s="991" t="s">
        <v>942</v>
      </c>
      <c r="X2" s="991" t="s">
        <v>943</v>
      </c>
      <c r="Y2" s="991" t="s">
        <v>1031</v>
      </c>
    </row>
    <row r="3" spans="1:25" ht="74.45" customHeight="1" x14ac:dyDescent="0.25">
      <c r="A3" s="974"/>
      <c r="B3" s="975" t="s">
        <v>783</v>
      </c>
      <c r="C3" s="975" t="s">
        <v>784</v>
      </c>
      <c r="D3" s="975"/>
      <c r="E3" s="975" t="s">
        <v>785</v>
      </c>
      <c r="F3" s="976" t="s">
        <v>786</v>
      </c>
      <c r="G3" s="976"/>
      <c r="H3" s="976"/>
      <c r="I3" s="975" t="s">
        <v>787</v>
      </c>
      <c r="J3" s="975" t="s">
        <v>788</v>
      </c>
      <c r="K3" s="975" t="s">
        <v>789</v>
      </c>
      <c r="L3" s="975" t="s">
        <v>790</v>
      </c>
      <c r="M3" s="975"/>
      <c r="N3" s="975" t="s">
        <v>791</v>
      </c>
      <c r="O3" s="975" t="s">
        <v>792</v>
      </c>
      <c r="P3" s="975" t="s">
        <v>793</v>
      </c>
      <c r="Q3" s="975" t="s">
        <v>794</v>
      </c>
      <c r="R3" s="1138"/>
      <c r="S3" s="975" t="s">
        <v>795</v>
      </c>
      <c r="T3" s="975"/>
      <c r="U3" s="975" t="s">
        <v>796</v>
      </c>
      <c r="V3" s="975"/>
      <c r="W3" s="987"/>
      <c r="X3" s="987"/>
      <c r="Y3" s="987"/>
    </row>
    <row r="4" spans="1:25" x14ac:dyDescent="0.25">
      <c r="A4" s="977" t="s">
        <v>797</v>
      </c>
      <c r="B4" s="978"/>
      <c r="C4" s="978"/>
      <c r="D4" s="978"/>
      <c r="E4" s="978"/>
      <c r="F4" s="978"/>
      <c r="G4" s="978"/>
      <c r="H4" s="978"/>
      <c r="I4" s="978"/>
      <c r="J4" s="978"/>
      <c r="K4" s="978"/>
      <c r="L4" s="978"/>
      <c r="M4" s="978"/>
      <c r="N4" s="978"/>
      <c r="O4" s="978"/>
      <c r="P4" s="978"/>
      <c r="Q4" s="978"/>
      <c r="R4" s="1169"/>
      <c r="S4" s="978"/>
      <c r="T4" s="978"/>
      <c r="U4" s="978"/>
      <c r="V4" s="978"/>
      <c r="W4" s="988"/>
      <c r="X4" s="988"/>
      <c r="Y4" s="988"/>
    </row>
    <row r="5" spans="1:25" ht="63.75" x14ac:dyDescent="0.25">
      <c r="A5" s="958">
        <v>1</v>
      </c>
      <c r="B5" s="959" t="s">
        <v>798</v>
      </c>
      <c r="C5" s="959" t="s">
        <v>799</v>
      </c>
      <c r="D5" s="961" t="s">
        <v>797</v>
      </c>
      <c r="E5" s="960" t="s">
        <v>800</v>
      </c>
      <c r="F5" s="961" t="s">
        <v>801</v>
      </c>
      <c r="G5" s="961" t="s">
        <v>639</v>
      </c>
      <c r="H5" s="961" t="s">
        <v>731</v>
      </c>
      <c r="I5" s="994" t="s">
        <v>802</v>
      </c>
      <c r="J5" s="1096">
        <v>550</v>
      </c>
      <c r="K5" s="996">
        <v>80</v>
      </c>
      <c r="L5" s="996"/>
      <c r="M5" s="997">
        <f t="shared" ref="M5:M41" si="0">ROUND(J5*K5*1.2,2)</f>
        <v>52800</v>
      </c>
      <c r="N5" s="997">
        <f>M5</f>
        <v>52800</v>
      </c>
      <c r="O5" s="997">
        <f t="shared" ref="O5:O42" si="1">M5-N5</f>
        <v>0</v>
      </c>
      <c r="P5" s="1094">
        <v>1</v>
      </c>
      <c r="Q5" s="997">
        <f t="shared" ref="Q5:Q70" si="2">P5*N5</f>
        <v>52800</v>
      </c>
      <c r="R5" s="1170">
        <v>52800</v>
      </c>
      <c r="S5" s="1105" t="s">
        <v>1042</v>
      </c>
      <c r="T5" s="1102" t="s">
        <v>971</v>
      </c>
      <c r="U5" s="1091" t="s">
        <v>1043</v>
      </c>
      <c r="V5" s="979" t="s">
        <v>993</v>
      </c>
      <c r="W5" s="989">
        <f t="shared" ref="W5:W47" si="3">R5</f>
        <v>52800</v>
      </c>
      <c r="X5" s="989"/>
      <c r="Y5" s="989"/>
    </row>
    <row r="6" spans="1:25" ht="63.75" x14ac:dyDescent="0.25">
      <c r="A6" s="958">
        <v>2</v>
      </c>
      <c r="B6" s="959" t="s">
        <v>798</v>
      </c>
      <c r="C6" s="959" t="s">
        <v>799</v>
      </c>
      <c r="D6" s="961" t="s">
        <v>797</v>
      </c>
      <c r="E6" s="960" t="s">
        <v>800</v>
      </c>
      <c r="F6" s="961" t="s">
        <v>803</v>
      </c>
      <c r="G6" s="961" t="s">
        <v>724</v>
      </c>
      <c r="H6" s="961" t="s">
        <v>731</v>
      </c>
      <c r="I6" s="994" t="s">
        <v>802</v>
      </c>
      <c r="J6" s="996">
        <v>550</v>
      </c>
      <c r="K6" s="996">
        <v>264</v>
      </c>
      <c r="L6" s="996"/>
      <c r="M6" s="997">
        <f t="shared" si="0"/>
        <v>174240</v>
      </c>
      <c r="N6" s="997">
        <f t="shared" ref="N6:N50" si="4">M6</f>
        <v>174240</v>
      </c>
      <c r="O6" s="997">
        <f t="shared" si="1"/>
        <v>0</v>
      </c>
      <c r="P6" s="1094">
        <v>1</v>
      </c>
      <c r="Q6" s="997">
        <f t="shared" si="2"/>
        <v>174240</v>
      </c>
      <c r="R6" s="1170">
        <v>174240</v>
      </c>
      <c r="S6" s="1105" t="s">
        <v>1042</v>
      </c>
      <c r="T6" s="1102" t="s">
        <v>971</v>
      </c>
      <c r="U6" s="1091" t="s">
        <v>964</v>
      </c>
      <c r="V6" s="979" t="s">
        <v>993</v>
      </c>
      <c r="W6" s="989">
        <f t="shared" si="3"/>
        <v>174240</v>
      </c>
      <c r="X6" s="989"/>
      <c r="Y6" s="989"/>
    </row>
    <row r="7" spans="1:25" ht="63.75" x14ac:dyDescent="0.25">
      <c r="A7" s="958">
        <v>3</v>
      </c>
      <c r="B7" s="959" t="s">
        <v>798</v>
      </c>
      <c r="C7" s="959" t="s">
        <v>804</v>
      </c>
      <c r="D7" s="961" t="s">
        <v>797</v>
      </c>
      <c r="E7" s="960" t="s">
        <v>800</v>
      </c>
      <c r="F7" s="961" t="s">
        <v>805</v>
      </c>
      <c r="G7" s="961" t="s">
        <v>701</v>
      </c>
      <c r="H7" s="961" t="s">
        <v>731</v>
      </c>
      <c r="I7" s="994" t="s">
        <v>802</v>
      </c>
      <c r="J7" s="996">
        <v>550</v>
      </c>
      <c r="K7" s="996">
        <v>72</v>
      </c>
      <c r="L7" s="996"/>
      <c r="M7" s="997">
        <f t="shared" si="0"/>
        <v>47520</v>
      </c>
      <c r="N7" s="997">
        <f t="shared" si="4"/>
        <v>47520</v>
      </c>
      <c r="O7" s="997">
        <f t="shared" si="1"/>
        <v>0</v>
      </c>
      <c r="P7" s="1094">
        <v>1</v>
      </c>
      <c r="Q7" s="997">
        <f t="shared" si="2"/>
        <v>47520</v>
      </c>
      <c r="R7" s="1170">
        <v>47520</v>
      </c>
      <c r="S7" s="1105" t="s">
        <v>1042</v>
      </c>
      <c r="T7" s="1102" t="s">
        <v>971</v>
      </c>
      <c r="U7" s="1091" t="s">
        <v>964</v>
      </c>
      <c r="V7" s="979" t="s">
        <v>993</v>
      </c>
      <c r="W7" s="989">
        <f t="shared" si="3"/>
        <v>47520</v>
      </c>
      <c r="X7" s="989"/>
      <c r="Y7" s="989"/>
    </row>
    <row r="8" spans="1:25" ht="63.75" x14ac:dyDescent="0.25">
      <c r="A8" s="958">
        <v>4</v>
      </c>
      <c r="B8" s="959" t="s">
        <v>798</v>
      </c>
      <c r="C8" s="959" t="s">
        <v>806</v>
      </c>
      <c r="D8" s="961" t="s">
        <v>797</v>
      </c>
      <c r="E8" s="960" t="s">
        <v>800</v>
      </c>
      <c r="F8" s="961" t="s">
        <v>807</v>
      </c>
      <c r="G8" s="961" t="s">
        <v>642</v>
      </c>
      <c r="H8" s="961" t="s">
        <v>731</v>
      </c>
      <c r="I8" s="994" t="s">
        <v>802</v>
      </c>
      <c r="J8" s="996">
        <v>550</v>
      </c>
      <c r="K8" s="996">
        <v>32</v>
      </c>
      <c r="L8" s="996"/>
      <c r="M8" s="997">
        <f t="shared" si="0"/>
        <v>21120</v>
      </c>
      <c r="N8" s="997">
        <f t="shared" si="4"/>
        <v>21120</v>
      </c>
      <c r="O8" s="997">
        <f t="shared" si="1"/>
        <v>0</v>
      </c>
      <c r="P8" s="1094">
        <v>1</v>
      </c>
      <c r="Q8" s="997">
        <f t="shared" si="2"/>
        <v>21120</v>
      </c>
      <c r="R8" s="1170">
        <v>21120</v>
      </c>
      <c r="S8" s="1105" t="s">
        <v>1042</v>
      </c>
      <c r="T8" s="1102" t="s">
        <v>971</v>
      </c>
      <c r="U8" s="1091" t="s">
        <v>965</v>
      </c>
      <c r="V8" s="979" t="s">
        <v>993</v>
      </c>
      <c r="W8" s="989">
        <f t="shared" si="3"/>
        <v>21120</v>
      </c>
      <c r="X8" s="989"/>
      <c r="Y8" s="989"/>
    </row>
    <row r="9" spans="1:25" ht="63.75" x14ac:dyDescent="0.25">
      <c r="A9" s="958">
        <v>5</v>
      </c>
      <c r="B9" s="959" t="s">
        <v>798</v>
      </c>
      <c r="C9" s="959" t="s">
        <v>799</v>
      </c>
      <c r="D9" s="961" t="s">
        <v>797</v>
      </c>
      <c r="E9" s="960" t="s">
        <v>800</v>
      </c>
      <c r="F9" s="961" t="s">
        <v>808</v>
      </c>
      <c r="G9" s="961" t="s">
        <v>643</v>
      </c>
      <c r="H9" s="961" t="s">
        <v>731</v>
      </c>
      <c r="I9" s="994" t="s">
        <v>802</v>
      </c>
      <c r="J9" s="996">
        <v>550</v>
      </c>
      <c r="K9" s="996">
        <v>48</v>
      </c>
      <c r="L9" s="996"/>
      <c r="M9" s="997">
        <f t="shared" si="0"/>
        <v>31680</v>
      </c>
      <c r="N9" s="997">
        <f t="shared" si="4"/>
        <v>31680</v>
      </c>
      <c r="O9" s="997">
        <f t="shared" si="1"/>
        <v>0</v>
      </c>
      <c r="P9" s="1094">
        <v>1</v>
      </c>
      <c r="Q9" s="997">
        <f t="shared" si="2"/>
        <v>31680</v>
      </c>
      <c r="R9" s="1170">
        <v>31680</v>
      </c>
      <c r="S9" s="1105" t="s">
        <v>1042</v>
      </c>
      <c r="T9" s="1102" t="s">
        <v>971</v>
      </c>
      <c r="U9" s="1091" t="s">
        <v>964</v>
      </c>
      <c r="V9" s="979" t="s">
        <v>993</v>
      </c>
      <c r="W9" s="989">
        <f t="shared" si="3"/>
        <v>31680</v>
      </c>
      <c r="X9" s="989"/>
      <c r="Y9" s="989"/>
    </row>
    <row r="10" spans="1:25" ht="63.75" x14ac:dyDescent="0.25">
      <c r="A10" s="958">
        <v>6</v>
      </c>
      <c r="B10" s="959" t="s">
        <v>798</v>
      </c>
      <c r="C10" s="959" t="s">
        <v>806</v>
      </c>
      <c r="D10" s="961" t="s">
        <v>797</v>
      </c>
      <c r="E10" s="960" t="s">
        <v>800</v>
      </c>
      <c r="F10" s="961" t="s">
        <v>809</v>
      </c>
      <c r="G10" s="961" t="s">
        <v>644</v>
      </c>
      <c r="H10" s="961" t="s">
        <v>731</v>
      </c>
      <c r="I10" s="994" t="s">
        <v>802</v>
      </c>
      <c r="J10" s="996">
        <v>550</v>
      </c>
      <c r="K10" s="996">
        <v>72</v>
      </c>
      <c r="L10" s="996"/>
      <c r="M10" s="997">
        <f t="shared" si="0"/>
        <v>47520</v>
      </c>
      <c r="N10" s="997">
        <f t="shared" si="4"/>
        <v>47520</v>
      </c>
      <c r="O10" s="997">
        <f t="shared" si="1"/>
        <v>0</v>
      </c>
      <c r="P10" s="1094">
        <v>1</v>
      </c>
      <c r="Q10" s="997">
        <f t="shared" si="2"/>
        <v>47520</v>
      </c>
      <c r="R10" s="1170">
        <v>47520</v>
      </c>
      <c r="S10" s="1105" t="s">
        <v>1042</v>
      </c>
      <c r="T10" s="1102" t="s">
        <v>971</v>
      </c>
      <c r="U10" s="1091" t="s">
        <v>964</v>
      </c>
      <c r="V10" s="979" t="s">
        <v>993</v>
      </c>
      <c r="W10" s="989">
        <f t="shared" si="3"/>
        <v>47520</v>
      </c>
      <c r="X10" s="989"/>
      <c r="Y10" s="989"/>
    </row>
    <row r="11" spans="1:25" ht="63.75" x14ac:dyDescent="0.25">
      <c r="A11" s="958">
        <v>7</v>
      </c>
      <c r="B11" s="959" t="s">
        <v>798</v>
      </c>
      <c r="C11" s="959" t="s">
        <v>806</v>
      </c>
      <c r="D11" s="961" t="s">
        <v>797</v>
      </c>
      <c r="E11" s="960" t="s">
        <v>800</v>
      </c>
      <c r="F11" s="961" t="s">
        <v>810</v>
      </c>
      <c r="G11" s="961" t="s">
        <v>645</v>
      </c>
      <c r="H11" s="961" t="s">
        <v>731</v>
      </c>
      <c r="I11" s="994" t="s">
        <v>802</v>
      </c>
      <c r="J11" s="996">
        <v>550</v>
      </c>
      <c r="K11" s="996">
        <v>32</v>
      </c>
      <c r="L11" s="996"/>
      <c r="M11" s="997">
        <f t="shared" si="0"/>
        <v>21120</v>
      </c>
      <c r="N11" s="997">
        <f t="shared" si="4"/>
        <v>21120</v>
      </c>
      <c r="O11" s="997">
        <f t="shared" si="1"/>
        <v>0</v>
      </c>
      <c r="P11" s="1094">
        <v>1</v>
      </c>
      <c r="Q11" s="997">
        <f t="shared" si="2"/>
        <v>21120</v>
      </c>
      <c r="R11" s="1170">
        <v>21120</v>
      </c>
      <c r="S11" s="1105" t="s">
        <v>1042</v>
      </c>
      <c r="T11" s="1102" t="s">
        <v>971</v>
      </c>
      <c r="U11" s="1091" t="s">
        <v>965</v>
      </c>
      <c r="V11" s="979" t="s">
        <v>993</v>
      </c>
      <c r="W11" s="989">
        <f t="shared" si="3"/>
        <v>21120</v>
      </c>
      <c r="X11" s="989"/>
      <c r="Y11" s="989"/>
    </row>
    <row r="12" spans="1:25" ht="63.75" x14ac:dyDescent="0.25">
      <c r="A12" s="958">
        <v>8</v>
      </c>
      <c r="B12" s="959" t="s">
        <v>798</v>
      </c>
      <c r="C12" s="959" t="s">
        <v>804</v>
      </c>
      <c r="D12" s="961" t="s">
        <v>797</v>
      </c>
      <c r="E12" s="960" t="s">
        <v>800</v>
      </c>
      <c r="F12" s="961" t="s">
        <v>811</v>
      </c>
      <c r="G12" s="961" t="s">
        <v>646</v>
      </c>
      <c r="H12" s="961" t="s">
        <v>731</v>
      </c>
      <c r="I12" s="994" t="s">
        <v>802</v>
      </c>
      <c r="J12" s="996">
        <v>550</v>
      </c>
      <c r="K12" s="996">
        <v>32</v>
      </c>
      <c r="L12" s="996"/>
      <c r="M12" s="997">
        <f t="shared" si="0"/>
        <v>21120</v>
      </c>
      <c r="N12" s="997">
        <f t="shared" si="4"/>
        <v>21120</v>
      </c>
      <c r="O12" s="997">
        <f t="shared" si="1"/>
        <v>0</v>
      </c>
      <c r="P12" s="1094">
        <v>1</v>
      </c>
      <c r="Q12" s="997">
        <f t="shared" si="2"/>
        <v>21120</v>
      </c>
      <c r="R12" s="1170">
        <v>21120</v>
      </c>
      <c r="S12" s="1105" t="s">
        <v>1042</v>
      </c>
      <c r="T12" s="1102" t="s">
        <v>971</v>
      </c>
      <c r="U12" s="1091" t="s">
        <v>965</v>
      </c>
      <c r="V12" s="979" t="s">
        <v>993</v>
      </c>
      <c r="W12" s="989">
        <f t="shared" si="3"/>
        <v>21120</v>
      </c>
      <c r="X12" s="989"/>
      <c r="Y12" s="989"/>
    </row>
    <row r="13" spans="1:25" ht="63.75" x14ac:dyDescent="0.25">
      <c r="A13" s="958">
        <v>9</v>
      </c>
      <c r="B13" s="959" t="s">
        <v>798</v>
      </c>
      <c r="C13" s="959" t="s">
        <v>804</v>
      </c>
      <c r="D13" s="961" t="s">
        <v>797</v>
      </c>
      <c r="E13" s="960" t="s">
        <v>800</v>
      </c>
      <c r="F13" s="961" t="s">
        <v>812</v>
      </c>
      <c r="G13" s="961" t="s">
        <v>813</v>
      </c>
      <c r="H13" s="961" t="s">
        <v>813</v>
      </c>
      <c r="I13" s="994" t="s">
        <v>802</v>
      </c>
      <c r="J13" s="996">
        <v>550</v>
      </c>
      <c r="K13" s="996">
        <v>16</v>
      </c>
      <c r="L13" s="996"/>
      <c r="M13" s="997">
        <f t="shared" si="0"/>
        <v>10560</v>
      </c>
      <c r="N13" s="997">
        <f t="shared" si="4"/>
        <v>10560</v>
      </c>
      <c r="O13" s="997">
        <f t="shared" si="1"/>
        <v>0</v>
      </c>
      <c r="P13" s="1094">
        <v>1</v>
      </c>
      <c r="Q13" s="997">
        <f t="shared" si="2"/>
        <v>10560</v>
      </c>
      <c r="R13" s="1170">
        <v>10560</v>
      </c>
      <c r="S13" s="1105" t="s">
        <v>1042</v>
      </c>
      <c r="T13" s="1102" t="s">
        <v>971</v>
      </c>
      <c r="U13" s="1091" t="s">
        <v>965</v>
      </c>
      <c r="V13" s="979" t="s">
        <v>993</v>
      </c>
      <c r="W13" s="989">
        <f t="shared" si="3"/>
        <v>10560</v>
      </c>
      <c r="X13" s="989"/>
      <c r="Y13" s="989"/>
    </row>
    <row r="14" spans="1:25" ht="63.75" x14ac:dyDescent="0.25">
      <c r="A14" s="958">
        <v>10</v>
      </c>
      <c r="B14" s="959" t="s">
        <v>798</v>
      </c>
      <c r="C14" s="959" t="s">
        <v>804</v>
      </c>
      <c r="D14" s="961" t="s">
        <v>797</v>
      </c>
      <c r="E14" s="960" t="s">
        <v>800</v>
      </c>
      <c r="F14" s="961" t="s">
        <v>814</v>
      </c>
      <c r="G14" s="961" t="s">
        <v>323</v>
      </c>
      <c r="H14" s="961" t="s">
        <v>323</v>
      </c>
      <c r="I14" s="994" t="s">
        <v>802</v>
      </c>
      <c r="J14" s="996">
        <v>550</v>
      </c>
      <c r="K14" s="996">
        <v>24</v>
      </c>
      <c r="L14" s="996"/>
      <c r="M14" s="997">
        <f t="shared" si="0"/>
        <v>15840</v>
      </c>
      <c r="N14" s="997">
        <f t="shared" si="4"/>
        <v>15840</v>
      </c>
      <c r="O14" s="997">
        <f t="shared" si="1"/>
        <v>0</v>
      </c>
      <c r="P14" s="1094">
        <v>1</v>
      </c>
      <c r="Q14" s="997">
        <f t="shared" si="2"/>
        <v>15840</v>
      </c>
      <c r="R14" s="1170">
        <v>15840</v>
      </c>
      <c r="S14" s="1105" t="s">
        <v>1042</v>
      </c>
      <c r="T14" s="1102" t="s">
        <v>971</v>
      </c>
      <c r="U14" s="1091" t="s">
        <v>965</v>
      </c>
      <c r="V14" s="979" t="s">
        <v>993</v>
      </c>
      <c r="W14" s="989">
        <f t="shared" si="3"/>
        <v>15840</v>
      </c>
      <c r="X14" s="989"/>
      <c r="Y14" s="989"/>
    </row>
    <row r="15" spans="1:25" ht="63.75" x14ac:dyDescent="0.25">
      <c r="A15" s="958">
        <v>11</v>
      </c>
      <c r="B15" s="959" t="s">
        <v>798</v>
      </c>
      <c r="C15" s="959" t="s">
        <v>804</v>
      </c>
      <c r="D15" s="961" t="s">
        <v>797</v>
      </c>
      <c r="E15" s="960" t="s">
        <v>800</v>
      </c>
      <c r="F15" s="961" t="s">
        <v>815</v>
      </c>
      <c r="G15" s="961" t="s">
        <v>816</v>
      </c>
      <c r="H15" s="961" t="s">
        <v>816</v>
      </c>
      <c r="I15" s="994" t="s">
        <v>802</v>
      </c>
      <c r="J15" s="996">
        <v>550</v>
      </c>
      <c r="K15" s="996">
        <v>6</v>
      </c>
      <c r="L15" s="996"/>
      <c r="M15" s="997">
        <f t="shared" si="0"/>
        <v>3960</v>
      </c>
      <c r="N15" s="997">
        <f t="shared" si="4"/>
        <v>3960</v>
      </c>
      <c r="O15" s="997">
        <f t="shared" si="1"/>
        <v>0</v>
      </c>
      <c r="P15" s="1094">
        <v>1</v>
      </c>
      <c r="Q15" s="997">
        <f t="shared" si="2"/>
        <v>3960</v>
      </c>
      <c r="R15" s="1170">
        <v>3960</v>
      </c>
      <c r="S15" s="1105" t="s">
        <v>1042</v>
      </c>
      <c r="T15" s="1102" t="s">
        <v>971</v>
      </c>
      <c r="U15" s="1091" t="s">
        <v>964</v>
      </c>
      <c r="V15" s="979" t="s">
        <v>993</v>
      </c>
      <c r="W15" s="989">
        <f t="shared" si="3"/>
        <v>3960</v>
      </c>
      <c r="X15" s="989"/>
      <c r="Y15" s="989"/>
    </row>
    <row r="16" spans="1:25" ht="63.75" x14ac:dyDescent="0.25">
      <c r="A16" s="958">
        <v>12</v>
      </c>
      <c r="B16" s="959" t="s">
        <v>798</v>
      </c>
      <c r="C16" s="962" t="s">
        <v>799</v>
      </c>
      <c r="D16" s="964" t="s">
        <v>797</v>
      </c>
      <c r="E16" s="963" t="s">
        <v>800</v>
      </c>
      <c r="F16" s="964" t="s">
        <v>817</v>
      </c>
      <c r="G16" s="964" t="s">
        <v>818</v>
      </c>
      <c r="H16" s="961" t="s">
        <v>731</v>
      </c>
      <c r="I16" s="994" t="s">
        <v>802</v>
      </c>
      <c r="J16" s="996">
        <v>550</v>
      </c>
      <c r="K16" s="996">
        <v>16</v>
      </c>
      <c r="L16" s="996"/>
      <c r="M16" s="997">
        <f t="shared" si="0"/>
        <v>10560</v>
      </c>
      <c r="N16" s="997">
        <f t="shared" si="4"/>
        <v>10560</v>
      </c>
      <c r="O16" s="997">
        <f t="shared" si="1"/>
        <v>0</v>
      </c>
      <c r="P16" s="1094">
        <v>1</v>
      </c>
      <c r="Q16" s="997">
        <f t="shared" si="2"/>
        <v>10560</v>
      </c>
      <c r="R16" s="1170">
        <v>10560</v>
      </c>
      <c r="S16" s="1105" t="s">
        <v>1042</v>
      </c>
      <c r="T16" s="1102" t="s">
        <v>971</v>
      </c>
      <c r="U16" s="1091" t="s">
        <v>965</v>
      </c>
      <c r="V16" s="979" t="s">
        <v>993</v>
      </c>
      <c r="W16" s="989">
        <f t="shared" si="3"/>
        <v>10560</v>
      </c>
      <c r="X16" s="989"/>
      <c r="Y16" s="989"/>
    </row>
    <row r="17" spans="1:25" ht="51" x14ac:dyDescent="0.25">
      <c r="A17" s="958">
        <v>13</v>
      </c>
      <c r="B17" s="959" t="s">
        <v>798</v>
      </c>
      <c r="C17" s="962" t="s">
        <v>804</v>
      </c>
      <c r="D17" s="964" t="s">
        <v>797</v>
      </c>
      <c r="E17" s="963" t="s">
        <v>800</v>
      </c>
      <c r="F17" s="964" t="s">
        <v>819</v>
      </c>
      <c r="G17" s="964" t="s">
        <v>820</v>
      </c>
      <c r="H17" s="961" t="s">
        <v>731</v>
      </c>
      <c r="I17" s="994" t="s">
        <v>802</v>
      </c>
      <c r="J17" s="996">
        <v>450</v>
      </c>
      <c r="K17" s="996">
        <v>48</v>
      </c>
      <c r="L17" s="996"/>
      <c r="M17" s="997">
        <f t="shared" si="0"/>
        <v>25920</v>
      </c>
      <c r="N17" s="997">
        <f t="shared" si="4"/>
        <v>25920</v>
      </c>
      <c r="O17" s="997">
        <f t="shared" si="1"/>
        <v>0</v>
      </c>
      <c r="P17" s="1094">
        <v>1</v>
      </c>
      <c r="Q17" s="997">
        <f t="shared" si="2"/>
        <v>25920</v>
      </c>
      <c r="R17" s="1170">
        <v>25920</v>
      </c>
      <c r="S17" s="1105" t="s">
        <v>1042</v>
      </c>
      <c r="T17" s="1102" t="s">
        <v>971</v>
      </c>
      <c r="U17" s="1091" t="s">
        <v>1044</v>
      </c>
      <c r="V17" s="979" t="s">
        <v>993</v>
      </c>
      <c r="W17" s="989">
        <f t="shared" si="3"/>
        <v>25920</v>
      </c>
      <c r="X17" s="989"/>
      <c r="Y17" s="989"/>
    </row>
    <row r="18" spans="1:25" ht="76.5" x14ac:dyDescent="0.25">
      <c r="A18" s="958">
        <v>14</v>
      </c>
      <c r="B18" s="959" t="s">
        <v>798</v>
      </c>
      <c r="C18" s="959" t="s">
        <v>804</v>
      </c>
      <c r="D18" s="961" t="s">
        <v>797</v>
      </c>
      <c r="E18" s="960" t="s">
        <v>800</v>
      </c>
      <c r="F18" s="961" t="s">
        <v>821</v>
      </c>
      <c r="G18" s="961" t="s">
        <v>820</v>
      </c>
      <c r="H18" s="961" t="s">
        <v>731</v>
      </c>
      <c r="I18" s="994" t="s">
        <v>802</v>
      </c>
      <c r="J18" s="996">
        <v>500</v>
      </c>
      <c r="K18" s="996">
        <v>24</v>
      </c>
      <c r="L18" s="996"/>
      <c r="M18" s="997">
        <f t="shared" si="0"/>
        <v>14400</v>
      </c>
      <c r="N18" s="997">
        <f t="shared" si="4"/>
        <v>14400</v>
      </c>
      <c r="O18" s="997">
        <f t="shared" si="1"/>
        <v>0</v>
      </c>
      <c r="P18" s="1094">
        <v>1</v>
      </c>
      <c r="Q18" s="997">
        <f t="shared" si="2"/>
        <v>14400</v>
      </c>
      <c r="R18" s="1170">
        <v>14400</v>
      </c>
      <c r="S18" s="1105" t="s">
        <v>1042</v>
      </c>
      <c r="T18" s="1102" t="s">
        <v>971</v>
      </c>
      <c r="U18" s="1091" t="s">
        <v>1045</v>
      </c>
      <c r="V18" s="979" t="s">
        <v>993</v>
      </c>
      <c r="W18" s="989">
        <f t="shared" si="3"/>
        <v>14400</v>
      </c>
      <c r="X18" s="989"/>
      <c r="Y18" s="989"/>
    </row>
    <row r="19" spans="1:25" ht="76.5" x14ac:dyDescent="0.25">
      <c r="A19" s="958">
        <v>15</v>
      </c>
      <c r="B19" s="959" t="s">
        <v>798</v>
      </c>
      <c r="C19" s="959" t="s">
        <v>799</v>
      </c>
      <c r="D19" s="961" t="s">
        <v>797</v>
      </c>
      <c r="E19" s="960" t="s">
        <v>800</v>
      </c>
      <c r="F19" s="961" t="s">
        <v>822</v>
      </c>
      <c r="G19" s="961" t="s">
        <v>639</v>
      </c>
      <c r="H19" s="961" t="s">
        <v>731</v>
      </c>
      <c r="I19" s="994" t="s">
        <v>802</v>
      </c>
      <c r="J19" s="996">
        <v>500</v>
      </c>
      <c r="K19" s="996">
        <v>24</v>
      </c>
      <c r="L19" s="996"/>
      <c r="M19" s="997">
        <f t="shared" si="0"/>
        <v>14400</v>
      </c>
      <c r="N19" s="997">
        <f t="shared" si="4"/>
        <v>14400</v>
      </c>
      <c r="O19" s="997">
        <f t="shared" si="1"/>
        <v>0</v>
      </c>
      <c r="P19" s="1094">
        <v>1</v>
      </c>
      <c r="Q19" s="997">
        <f t="shared" si="2"/>
        <v>14400</v>
      </c>
      <c r="R19" s="1170">
        <v>14400</v>
      </c>
      <c r="S19" s="1105" t="s">
        <v>1042</v>
      </c>
      <c r="T19" s="1102" t="s">
        <v>971</v>
      </c>
      <c r="U19" s="1091" t="s">
        <v>1046</v>
      </c>
      <c r="V19" s="979" t="s">
        <v>993</v>
      </c>
      <c r="W19" s="989">
        <f t="shared" si="3"/>
        <v>14400</v>
      </c>
      <c r="X19" s="989"/>
      <c r="Y19" s="989"/>
    </row>
    <row r="20" spans="1:25" ht="76.5" x14ac:dyDescent="0.25">
      <c r="A20" s="958">
        <v>16</v>
      </c>
      <c r="B20" s="959" t="s">
        <v>798</v>
      </c>
      <c r="C20" s="959" t="s">
        <v>799</v>
      </c>
      <c r="D20" s="961" t="s">
        <v>797</v>
      </c>
      <c r="E20" s="960" t="s">
        <v>800</v>
      </c>
      <c r="F20" s="961" t="s">
        <v>823</v>
      </c>
      <c r="G20" s="961" t="s">
        <v>724</v>
      </c>
      <c r="H20" s="961" t="s">
        <v>731</v>
      </c>
      <c r="I20" s="994" t="s">
        <v>802</v>
      </c>
      <c r="J20" s="996">
        <v>500</v>
      </c>
      <c r="K20" s="996">
        <v>72</v>
      </c>
      <c r="L20" s="996"/>
      <c r="M20" s="997">
        <f t="shared" si="0"/>
        <v>43200</v>
      </c>
      <c r="N20" s="997">
        <f t="shared" si="4"/>
        <v>43200</v>
      </c>
      <c r="O20" s="997">
        <f t="shared" si="1"/>
        <v>0</v>
      </c>
      <c r="P20" s="1094">
        <v>1</v>
      </c>
      <c r="Q20" s="997">
        <f t="shared" si="2"/>
        <v>43200</v>
      </c>
      <c r="R20" s="1170">
        <v>43200</v>
      </c>
      <c r="S20" s="1105" t="s">
        <v>1042</v>
      </c>
      <c r="T20" s="1102" t="s">
        <v>971</v>
      </c>
      <c r="U20" s="1091" t="s">
        <v>1046</v>
      </c>
      <c r="V20" s="979" t="s">
        <v>993</v>
      </c>
      <c r="W20" s="989">
        <f t="shared" si="3"/>
        <v>43200</v>
      </c>
      <c r="X20" s="989"/>
      <c r="Y20" s="989"/>
    </row>
    <row r="21" spans="1:25" ht="76.5" x14ac:dyDescent="0.25">
      <c r="A21" s="958">
        <v>17</v>
      </c>
      <c r="B21" s="959" t="s">
        <v>798</v>
      </c>
      <c r="C21" s="959" t="s">
        <v>804</v>
      </c>
      <c r="D21" s="961" t="s">
        <v>797</v>
      </c>
      <c r="E21" s="960" t="s">
        <v>800</v>
      </c>
      <c r="F21" s="961" t="s">
        <v>824</v>
      </c>
      <c r="G21" s="961" t="s">
        <v>701</v>
      </c>
      <c r="H21" s="961" t="s">
        <v>731</v>
      </c>
      <c r="I21" s="994" t="s">
        <v>802</v>
      </c>
      <c r="J21" s="996">
        <v>500</v>
      </c>
      <c r="K21" s="996">
        <v>16</v>
      </c>
      <c r="L21" s="996"/>
      <c r="M21" s="997">
        <f t="shared" si="0"/>
        <v>9600</v>
      </c>
      <c r="N21" s="997">
        <f t="shared" si="4"/>
        <v>9600</v>
      </c>
      <c r="O21" s="997">
        <f t="shared" si="1"/>
        <v>0</v>
      </c>
      <c r="P21" s="1094">
        <v>1</v>
      </c>
      <c r="Q21" s="997">
        <f t="shared" si="2"/>
        <v>9600</v>
      </c>
      <c r="R21" s="1170">
        <v>9600</v>
      </c>
      <c r="S21" s="1105" t="s">
        <v>1042</v>
      </c>
      <c r="T21" s="1102" t="s">
        <v>971</v>
      </c>
      <c r="U21" s="1091" t="s">
        <v>1047</v>
      </c>
      <c r="V21" s="979" t="s">
        <v>993</v>
      </c>
      <c r="W21" s="989">
        <f t="shared" si="3"/>
        <v>9600</v>
      </c>
      <c r="X21" s="989"/>
      <c r="Y21" s="989"/>
    </row>
    <row r="22" spans="1:25" ht="76.5" x14ac:dyDescent="0.25">
      <c r="A22" s="958">
        <v>18</v>
      </c>
      <c r="B22" s="959" t="s">
        <v>798</v>
      </c>
      <c r="C22" s="959" t="s">
        <v>806</v>
      </c>
      <c r="D22" s="961" t="s">
        <v>797</v>
      </c>
      <c r="E22" s="960" t="s">
        <v>800</v>
      </c>
      <c r="F22" s="961" t="s">
        <v>825</v>
      </c>
      <c r="G22" s="961" t="s">
        <v>642</v>
      </c>
      <c r="H22" s="961" t="s">
        <v>731</v>
      </c>
      <c r="I22" s="994" t="s">
        <v>802</v>
      </c>
      <c r="J22" s="996">
        <v>500</v>
      </c>
      <c r="K22" s="996">
        <v>8</v>
      </c>
      <c r="L22" s="996"/>
      <c r="M22" s="997">
        <f t="shared" si="0"/>
        <v>4800</v>
      </c>
      <c r="N22" s="997">
        <f t="shared" si="4"/>
        <v>4800</v>
      </c>
      <c r="O22" s="997">
        <f t="shared" si="1"/>
        <v>0</v>
      </c>
      <c r="P22" s="1094">
        <v>1</v>
      </c>
      <c r="Q22" s="997">
        <f t="shared" si="2"/>
        <v>4800</v>
      </c>
      <c r="R22" s="1170">
        <v>4800</v>
      </c>
      <c r="S22" s="1105" t="s">
        <v>1042</v>
      </c>
      <c r="T22" s="1102" t="s">
        <v>971</v>
      </c>
      <c r="U22" s="1091" t="s">
        <v>1046</v>
      </c>
      <c r="V22" s="979" t="s">
        <v>993</v>
      </c>
      <c r="W22" s="989">
        <f t="shared" si="3"/>
        <v>4800</v>
      </c>
      <c r="X22" s="989"/>
      <c r="Y22" s="989"/>
    </row>
    <row r="23" spans="1:25" ht="76.5" x14ac:dyDescent="0.25">
      <c r="A23" s="958">
        <v>19</v>
      </c>
      <c r="B23" s="959" t="s">
        <v>798</v>
      </c>
      <c r="C23" s="959" t="s">
        <v>799</v>
      </c>
      <c r="D23" s="961" t="s">
        <v>797</v>
      </c>
      <c r="E23" s="960" t="s">
        <v>800</v>
      </c>
      <c r="F23" s="961" t="s">
        <v>826</v>
      </c>
      <c r="G23" s="961" t="s">
        <v>643</v>
      </c>
      <c r="H23" s="961" t="s">
        <v>731</v>
      </c>
      <c r="I23" s="994" t="s">
        <v>802</v>
      </c>
      <c r="J23" s="996">
        <v>500</v>
      </c>
      <c r="K23" s="996">
        <v>8</v>
      </c>
      <c r="L23" s="996"/>
      <c r="M23" s="997">
        <f t="shared" si="0"/>
        <v>4800</v>
      </c>
      <c r="N23" s="997">
        <f t="shared" si="4"/>
        <v>4800</v>
      </c>
      <c r="O23" s="997">
        <f t="shared" si="1"/>
        <v>0</v>
      </c>
      <c r="P23" s="1094">
        <v>1</v>
      </c>
      <c r="Q23" s="997">
        <f t="shared" si="2"/>
        <v>4800</v>
      </c>
      <c r="R23" s="1170">
        <v>4800</v>
      </c>
      <c r="S23" s="1105" t="s">
        <v>1042</v>
      </c>
      <c r="T23" s="1102" t="s">
        <v>971</v>
      </c>
      <c r="U23" s="1091" t="s">
        <v>1046</v>
      </c>
      <c r="V23" s="979" t="s">
        <v>993</v>
      </c>
      <c r="W23" s="989">
        <f t="shared" si="3"/>
        <v>4800</v>
      </c>
      <c r="X23" s="989"/>
      <c r="Y23" s="989"/>
    </row>
    <row r="24" spans="1:25" ht="76.5" x14ac:dyDescent="0.25">
      <c r="A24" s="958">
        <v>20</v>
      </c>
      <c r="B24" s="959" t="s">
        <v>798</v>
      </c>
      <c r="C24" s="959" t="s">
        <v>806</v>
      </c>
      <c r="D24" s="961" t="s">
        <v>797</v>
      </c>
      <c r="E24" s="960" t="s">
        <v>800</v>
      </c>
      <c r="F24" s="961" t="s">
        <v>827</v>
      </c>
      <c r="G24" s="961" t="s">
        <v>644</v>
      </c>
      <c r="H24" s="961" t="s">
        <v>731</v>
      </c>
      <c r="I24" s="994" t="s">
        <v>802</v>
      </c>
      <c r="J24" s="996">
        <v>500</v>
      </c>
      <c r="K24" s="996">
        <v>16</v>
      </c>
      <c r="L24" s="996"/>
      <c r="M24" s="997">
        <f t="shared" si="0"/>
        <v>9600</v>
      </c>
      <c r="N24" s="997">
        <f t="shared" si="4"/>
        <v>9600</v>
      </c>
      <c r="O24" s="997">
        <f t="shared" si="1"/>
        <v>0</v>
      </c>
      <c r="P24" s="1094">
        <v>1</v>
      </c>
      <c r="Q24" s="997">
        <f t="shared" si="2"/>
        <v>9600</v>
      </c>
      <c r="R24" s="1170">
        <v>9600</v>
      </c>
      <c r="S24" s="1105" t="s">
        <v>1042</v>
      </c>
      <c r="T24" s="1102" t="s">
        <v>971</v>
      </c>
      <c r="U24" s="1091" t="s">
        <v>1047</v>
      </c>
      <c r="V24" s="979" t="s">
        <v>993</v>
      </c>
      <c r="W24" s="989">
        <f t="shared" si="3"/>
        <v>9600</v>
      </c>
      <c r="X24" s="989"/>
      <c r="Y24" s="989"/>
    </row>
    <row r="25" spans="1:25" ht="76.5" x14ac:dyDescent="0.25">
      <c r="A25" s="958">
        <v>21</v>
      </c>
      <c r="B25" s="959" t="s">
        <v>798</v>
      </c>
      <c r="C25" s="959" t="s">
        <v>806</v>
      </c>
      <c r="D25" s="961" t="s">
        <v>797</v>
      </c>
      <c r="E25" s="960" t="s">
        <v>800</v>
      </c>
      <c r="F25" s="961" t="s">
        <v>828</v>
      </c>
      <c r="G25" s="961" t="s">
        <v>645</v>
      </c>
      <c r="H25" s="961" t="s">
        <v>731</v>
      </c>
      <c r="I25" s="994" t="s">
        <v>802</v>
      </c>
      <c r="J25" s="996">
        <v>500</v>
      </c>
      <c r="K25" s="996">
        <v>8</v>
      </c>
      <c r="L25" s="996"/>
      <c r="M25" s="997">
        <f t="shared" si="0"/>
        <v>4800</v>
      </c>
      <c r="N25" s="997">
        <f t="shared" si="4"/>
        <v>4800</v>
      </c>
      <c r="O25" s="997">
        <f t="shared" si="1"/>
        <v>0</v>
      </c>
      <c r="P25" s="1094">
        <v>1</v>
      </c>
      <c r="Q25" s="997">
        <f t="shared" si="2"/>
        <v>4800</v>
      </c>
      <c r="R25" s="1170">
        <v>4800</v>
      </c>
      <c r="S25" s="1105" t="s">
        <v>1042</v>
      </c>
      <c r="T25" s="1102" t="s">
        <v>971</v>
      </c>
      <c r="U25" s="1091" t="s">
        <v>1046</v>
      </c>
      <c r="V25" s="979" t="s">
        <v>993</v>
      </c>
      <c r="W25" s="989">
        <f t="shared" si="3"/>
        <v>4800</v>
      </c>
      <c r="X25" s="989"/>
      <c r="Y25" s="989"/>
    </row>
    <row r="26" spans="1:25" ht="76.5" x14ac:dyDescent="0.25">
      <c r="A26" s="958">
        <v>22</v>
      </c>
      <c r="B26" s="959" t="s">
        <v>798</v>
      </c>
      <c r="C26" s="959" t="s">
        <v>804</v>
      </c>
      <c r="D26" s="961" t="s">
        <v>797</v>
      </c>
      <c r="E26" s="960" t="s">
        <v>800</v>
      </c>
      <c r="F26" s="961" t="s">
        <v>829</v>
      </c>
      <c r="G26" s="961" t="s">
        <v>646</v>
      </c>
      <c r="H26" s="961" t="s">
        <v>731</v>
      </c>
      <c r="I26" s="994" t="s">
        <v>802</v>
      </c>
      <c r="J26" s="996">
        <v>500</v>
      </c>
      <c r="K26" s="996">
        <v>8</v>
      </c>
      <c r="L26" s="996"/>
      <c r="M26" s="997">
        <f t="shared" si="0"/>
        <v>4800</v>
      </c>
      <c r="N26" s="997">
        <f t="shared" si="4"/>
        <v>4800</v>
      </c>
      <c r="O26" s="997">
        <f t="shared" si="1"/>
        <v>0</v>
      </c>
      <c r="P26" s="1094">
        <v>1</v>
      </c>
      <c r="Q26" s="997">
        <f t="shared" si="2"/>
        <v>4800</v>
      </c>
      <c r="R26" s="1170">
        <v>4800</v>
      </c>
      <c r="S26" s="1105" t="s">
        <v>1042</v>
      </c>
      <c r="T26" s="1102" t="s">
        <v>971</v>
      </c>
      <c r="U26" s="1091" t="s">
        <v>1047</v>
      </c>
      <c r="V26" s="979" t="s">
        <v>993</v>
      </c>
      <c r="W26" s="989">
        <f t="shared" si="3"/>
        <v>4800</v>
      </c>
      <c r="X26" s="989"/>
      <c r="Y26" s="989"/>
    </row>
    <row r="27" spans="1:25" ht="76.5" x14ac:dyDescent="0.25">
      <c r="A27" s="958">
        <v>23</v>
      </c>
      <c r="B27" s="959" t="s">
        <v>798</v>
      </c>
      <c r="C27" s="959" t="s">
        <v>804</v>
      </c>
      <c r="D27" s="961" t="s">
        <v>797</v>
      </c>
      <c r="E27" s="960" t="s">
        <v>800</v>
      </c>
      <c r="F27" s="961" t="s">
        <v>830</v>
      </c>
      <c r="G27" s="961" t="s">
        <v>323</v>
      </c>
      <c r="H27" s="961" t="s">
        <v>323</v>
      </c>
      <c r="I27" s="994" t="s">
        <v>802</v>
      </c>
      <c r="J27" s="996">
        <v>500</v>
      </c>
      <c r="K27" s="996">
        <v>7</v>
      </c>
      <c r="L27" s="996"/>
      <c r="M27" s="997">
        <f t="shared" si="0"/>
        <v>4200</v>
      </c>
      <c r="N27" s="997">
        <f t="shared" si="4"/>
        <v>4200</v>
      </c>
      <c r="O27" s="997">
        <f t="shared" si="1"/>
        <v>0</v>
      </c>
      <c r="P27" s="1094">
        <v>1</v>
      </c>
      <c r="Q27" s="997">
        <f t="shared" si="2"/>
        <v>4200</v>
      </c>
      <c r="R27" s="1170">
        <v>4200</v>
      </c>
      <c r="S27" s="1105" t="s">
        <v>1042</v>
      </c>
      <c r="T27" s="1102" t="s">
        <v>971</v>
      </c>
      <c r="U27" s="1091" t="s">
        <v>1047</v>
      </c>
      <c r="V27" s="979" t="s">
        <v>993</v>
      </c>
      <c r="W27" s="989">
        <f t="shared" si="3"/>
        <v>4200</v>
      </c>
      <c r="X27" s="989"/>
      <c r="Y27" s="989"/>
    </row>
    <row r="28" spans="1:25" ht="60" x14ac:dyDescent="0.25">
      <c r="A28" s="958">
        <v>24</v>
      </c>
      <c r="B28" s="959" t="s">
        <v>798</v>
      </c>
      <c r="C28" s="959" t="s">
        <v>799</v>
      </c>
      <c r="D28" s="961" t="s">
        <v>797</v>
      </c>
      <c r="E28" s="960" t="s">
        <v>800</v>
      </c>
      <c r="F28" s="961" t="s">
        <v>831</v>
      </c>
      <c r="G28" s="961" t="s">
        <v>832</v>
      </c>
      <c r="H28" s="961" t="s">
        <v>731</v>
      </c>
      <c r="I28" s="994" t="s">
        <v>802</v>
      </c>
      <c r="J28" s="996">
        <v>450</v>
      </c>
      <c r="K28" s="996">
        <v>40</v>
      </c>
      <c r="L28" s="996"/>
      <c r="M28" s="997">
        <f t="shared" si="0"/>
        <v>21600</v>
      </c>
      <c r="N28" s="997">
        <f t="shared" si="4"/>
        <v>21600</v>
      </c>
      <c r="O28" s="997">
        <f t="shared" si="1"/>
        <v>0</v>
      </c>
      <c r="P28" s="1094">
        <v>1</v>
      </c>
      <c r="Q28" s="997">
        <f t="shared" si="2"/>
        <v>21600</v>
      </c>
      <c r="R28" s="1170">
        <v>21600</v>
      </c>
      <c r="S28" s="1105" t="s">
        <v>1042</v>
      </c>
      <c r="T28" s="1102" t="s">
        <v>971</v>
      </c>
      <c r="U28" s="1091" t="s">
        <v>1048</v>
      </c>
      <c r="V28" s="979" t="s">
        <v>993</v>
      </c>
      <c r="W28" s="989">
        <f t="shared" si="3"/>
        <v>21600</v>
      </c>
      <c r="X28" s="989"/>
      <c r="Y28" s="989"/>
    </row>
    <row r="29" spans="1:25" ht="45" x14ac:dyDescent="0.25">
      <c r="A29" s="958">
        <v>25</v>
      </c>
      <c r="B29" s="959" t="s">
        <v>798</v>
      </c>
      <c r="C29" s="959" t="s">
        <v>799</v>
      </c>
      <c r="D29" s="961" t="s">
        <v>797</v>
      </c>
      <c r="E29" s="960" t="s">
        <v>800</v>
      </c>
      <c r="F29" s="961" t="s">
        <v>833</v>
      </c>
      <c r="G29" s="961" t="s">
        <v>834</v>
      </c>
      <c r="H29" s="961" t="s">
        <v>731</v>
      </c>
      <c r="I29" s="994" t="s">
        <v>802</v>
      </c>
      <c r="J29" s="996">
        <v>450</v>
      </c>
      <c r="K29" s="996">
        <v>168</v>
      </c>
      <c r="L29" s="996"/>
      <c r="M29" s="997">
        <f t="shared" si="0"/>
        <v>90720</v>
      </c>
      <c r="N29" s="997">
        <f t="shared" si="4"/>
        <v>90720</v>
      </c>
      <c r="O29" s="997">
        <f t="shared" si="1"/>
        <v>0</v>
      </c>
      <c r="P29" s="1094">
        <v>1</v>
      </c>
      <c r="Q29" s="997">
        <f t="shared" si="2"/>
        <v>90720</v>
      </c>
      <c r="R29" s="1170">
        <v>90720</v>
      </c>
      <c r="S29" s="1105" t="s">
        <v>1042</v>
      </c>
      <c r="T29" s="1102" t="s">
        <v>971</v>
      </c>
      <c r="U29" s="1091" t="s">
        <v>1048</v>
      </c>
      <c r="V29" s="979" t="s">
        <v>993</v>
      </c>
      <c r="W29" s="989">
        <f t="shared" si="3"/>
        <v>90720</v>
      </c>
      <c r="X29" s="989"/>
      <c r="Y29" s="989"/>
    </row>
    <row r="30" spans="1:25" ht="60" x14ac:dyDescent="0.25">
      <c r="A30" s="958">
        <v>26</v>
      </c>
      <c r="B30" s="959" t="s">
        <v>798</v>
      </c>
      <c r="C30" s="959" t="s">
        <v>804</v>
      </c>
      <c r="D30" s="961" t="s">
        <v>797</v>
      </c>
      <c r="E30" s="960" t="s">
        <v>800</v>
      </c>
      <c r="F30" s="961" t="s">
        <v>835</v>
      </c>
      <c r="G30" s="961" t="s">
        <v>836</v>
      </c>
      <c r="H30" s="961" t="s">
        <v>731</v>
      </c>
      <c r="I30" s="994" t="s">
        <v>802</v>
      </c>
      <c r="J30" s="996">
        <v>450</v>
      </c>
      <c r="K30" s="996">
        <v>40</v>
      </c>
      <c r="L30" s="996"/>
      <c r="M30" s="997">
        <f t="shared" si="0"/>
        <v>21600</v>
      </c>
      <c r="N30" s="997">
        <f t="shared" si="4"/>
        <v>21600</v>
      </c>
      <c r="O30" s="997">
        <f t="shared" si="1"/>
        <v>0</v>
      </c>
      <c r="P30" s="1094">
        <v>1</v>
      </c>
      <c r="Q30" s="997">
        <f t="shared" si="2"/>
        <v>21600</v>
      </c>
      <c r="R30" s="1170">
        <v>21600</v>
      </c>
      <c r="S30" s="1105" t="s">
        <v>1042</v>
      </c>
      <c r="T30" s="1102" t="s">
        <v>971</v>
      </c>
      <c r="U30" s="1091" t="s">
        <v>1049</v>
      </c>
      <c r="V30" s="979" t="s">
        <v>993</v>
      </c>
      <c r="W30" s="989">
        <f t="shared" si="3"/>
        <v>21600</v>
      </c>
      <c r="X30" s="989"/>
      <c r="Y30" s="989"/>
    </row>
    <row r="31" spans="1:25" ht="60" x14ac:dyDescent="0.25">
      <c r="A31" s="958">
        <v>27</v>
      </c>
      <c r="B31" s="959" t="s">
        <v>798</v>
      </c>
      <c r="C31" s="959" t="s">
        <v>806</v>
      </c>
      <c r="D31" s="961" t="s">
        <v>797</v>
      </c>
      <c r="E31" s="960" t="s">
        <v>800</v>
      </c>
      <c r="F31" s="961" t="s">
        <v>837</v>
      </c>
      <c r="G31" s="961" t="s">
        <v>838</v>
      </c>
      <c r="H31" s="961" t="s">
        <v>731</v>
      </c>
      <c r="I31" s="994" t="s">
        <v>802</v>
      </c>
      <c r="J31" s="996">
        <v>450</v>
      </c>
      <c r="K31" s="996">
        <v>24</v>
      </c>
      <c r="L31" s="996"/>
      <c r="M31" s="997">
        <f t="shared" si="0"/>
        <v>12960</v>
      </c>
      <c r="N31" s="997">
        <f t="shared" si="4"/>
        <v>12960</v>
      </c>
      <c r="O31" s="997">
        <f t="shared" si="1"/>
        <v>0</v>
      </c>
      <c r="P31" s="1094">
        <v>1</v>
      </c>
      <c r="Q31" s="997">
        <f t="shared" si="2"/>
        <v>12960</v>
      </c>
      <c r="R31" s="1170">
        <v>12960</v>
      </c>
      <c r="S31" s="1105" t="s">
        <v>1042</v>
      </c>
      <c r="T31" s="1102" t="s">
        <v>971</v>
      </c>
      <c r="U31" s="1091" t="s">
        <v>1048</v>
      </c>
      <c r="V31" s="979" t="s">
        <v>993</v>
      </c>
      <c r="W31" s="989">
        <f t="shared" si="3"/>
        <v>12960</v>
      </c>
      <c r="X31" s="989"/>
      <c r="Y31" s="989"/>
    </row>
    <row r="32" spans="1:25" ht="45" x14ac:dyDescent="0.25">
      <c r="A32" s="958">
        <v>28</v>
      </c>
      <c r="B32" s="959" t="s">
        <v>798</v>
      </c>
      <c r="C32" s="959" t="s">
        <v>799</v>
      </c>
      <c r="D32" s="961" t="s">
        <v>797</v>
      </c>
      <c r="E32" s="960" t="s">
        <v>800</v>
      </c>
      <c r="F32" s="961" t="s">
        <v>839</v>
      </c>
      <c r="G32" s="961" t="s">
        <v>840</v>
      </c>
      <c r="H32" s="961" t="s">
        <v>731</v>
      </c>
      <c r="I32" s="994" t="s">
        <v>802</v>
      </c>
      <c r="J32" s="996">
        <v>450</v>
      </c>
      <c r="K32" s="996">
        <v>32</v>
      </c>
      <c r="L32" s="996"/>
      <c r="M32" s="997">
        <f t="shared" si="0"/>
        <v>17280</v>
      </c>
      <c r="N32" s="997">
        <f t="shared" si="4"/>
        <v>17280</v>
      </c>
      <c r="O32" s="997">
        <f t="shared" si="1"/>
        <v>0</v>
      </c>
      <c r="P32" s="1094">
        <v>1</v>
      </c>
      <c r="Q32" s="997">
        <f t="shared" si="2"/>
        <v>17280</v>
      </c>
      <c r="R32" s="1170">
        <v>17280</v>
      </c>
      <c r="S32" s="1105" t="s">
        <v>1042</v>
      </c>
      <c r="T32" s="1102" t="s">
        <v>971</v>
      </c>
      <c r="U32" s="1091" t="s">
        <v>1049</v>
      </c>
      <c r="V32" s="979" t="s">
        <v>993</v>
      </c>
      <c r="W32" s="989">
        <f t="shared" si="3"/>
        <v>17280</v>
      </c>
      <c r="X32" s="989"/>
      <c r="Y32" s="989"/>
    </row>
    <row r="33" spans="1:25" ht="45" x14ac:dyDescent="0.25">
      <c r="A33" s="958">
        <v>29</v>
      </c>
      <c r="B33" s="959" t="s">
        <v>798</v>
      </c>
      <c r="C33" s="959" t="s">
        <v>806</v>
      </c>
      <c r="D33" s="961" t="s">
        <v>797</v>
      </c>
      <c r="E33" s="960" t="s">
        <v>800</v>
      </c>
      <c r="F33" s="961" t="s">
        <v>841</v>
      </c>
      <c r="G33" s="961" t="s">
        <v>842</v>
      </c>
      <c r="H33" s="961" t="s">
        <v>731</v>
      </c>
      <c r="I33" s="994" t="s">
        <v>802</v>
      </c>
      <c r="J33" s="996">
        <v>450</v>
      </c>
      <c r="K33" s="996">
        <v>32</v>
      </c>
      <c r="L33" s="996"/>
      <c r="M33" s="997">
        <f t="shared" si="0"/>
        <v>17280</v>
      </c>
      <c r="N33" s="997">
        <f t="shared" si="4"/>
        <v>17280</v>
      </c>
      <c r="O33" s="997">
        <f t="shared" si="1"/>
        <v>0</v>
      </c>
      <c r="P33" s="1094">
        <v>1</v>
      </c>
      <c r="Q33" s="997">
        <f t="shared" si="2"/>
        <v>17280</v>
      </c>
      <c r="R33" s="1170">
        <v>17280</v>
      </c>
      <c r="S33" s="1105" t="s">
        <v>1042</v>
      </c>
      <c r="T33" s="1102" t="s">
        <v>971</v>
      </c>
      <c r="U33" s="1091" t="s">
        <v>1048</v>
      </c>
      <c r="V33" s="979" t="s">
        <v>993</v>
      </c>
      <c r="W33" s="989">
        <f t="shared" si="3"/>
        <v>17280</v>
      </c>
      <c r="X33" s="989"/>
      <c r="Y33" s="989"/>
    </row>
    <row r="34" spans="1:25" ht="45" x14ac:dyDescent="0.25">
      <c r="A34" s="958">
        <v>30</v>
      </c>
      <c r="B34" s="959" t="s">
        <v>798</v>
      </c>
      <c r="C34" s="959" t="s">
        <v>806</v>
      </c>
      <c r="D34" s="961" t="s">
        <v>797</v>
      </c>
      <c r="E34" s="960" t="s">
        <v>800</v>
      </c>
      <c r="F34" s="961" t="s">
        <v>843</v>
      </c>
      <c r="G34" s="961" t="s">
        <v>844</v>
      </c>
      <c r="H34" s="961" t="s">
        <v>731</v>
      </c>
      <c r="I34" s="994" t="s">
        <v>802</v>
      </c>
      <c r="J34" s="996">
        <v>450</v>
      </c>
      <c r="K34" s="996">
        <v>16</v>
      </c>
      <c r="L34" s="996"/>
      <c r="M34" s="997">
        <f t="shared" si="0"/>
        <v>8640</v>
      </c>
      <c r="N34" s="997">
        <f t="shared" si="4"/>
        <v>8640</v>
      </c>
      <c r="O34" s="997">
        <f t="shared" si="1"/>
        <v>0</v>
      </c>
      <c r="P34" s="1094">
        <v>1</v>
      </c>
      <c r="Q34" s="997">
        <f t="shared" si="2"/>
        <v>8640</v>
      </c>
      <c r="R34" s="1170">
        <v>8640</v>
      </c>
      <c r="S34" s="1105" t="s">
        <v>1042</v>
      </c>
      <c r="T34" s="1102" t="s">
        <v>971</v>
      </c>
      <c r="U34" s="1091" t="s">
        <v>1049</v>
      </c>
      <c r="V34" s="979" t="s">
        <v>993</v>
      </c>
      <c r="W34" s="989">
        <f t="shared" si="3"/>
        <v>8640</v>
      </c>
      <c r="X34" s="989"/>
      <c r="Y34" s="989"/>
    </row>
    <row r="35" spans="1:25" ht="45" x14ac:dyDescent="0.25">
      <c r="A35" s="958">
        <v>31</v>
      </c>
      <c r="B35" s="959" t="s">
        <v>798</v>
      </c>
      <c r="C35" s="959" t="s">
        <v>804</v>
      </c>
      <c r="D35" s="961" t="s">
        <v>797</v>
      </c>
      <c r="E35" s="960" t="s">
        <v>800</v>
      </c>
      <c r="F35" s="961" t="s">
        <v>845</v>
      </c>
      <c r="G35" s="961" t="s">
        <v>846</v>
      </c>
      <c r="H35" s="961" t="s">
        <v>731</v>
      </c>
      <c r="I35" s="994" t="s">
        <v>802</v>
      </c>
      <c r="J35" s="996">
        <v>450</v>
      </c>
      <c r="K35" s="996">
        <v>24</v>
      </c>
      <c r="L35" s="996"/>
      <c r="M35" s="997">
        <f t="shared" si="0"/>
        <v>12960</v>
      </c>
      <c r="N35" s="997">
        <f t="shared" si="4"/>
        <v>12960</v>
      </c>
      <c r="O35" s="997">
        <f t="shared" si="1"/>
        <v>0</v>
      </c>
      <c r="P35" s="1094">
        <v>1</v>
      </c>
      <c r="Q35" s="997">
        <f t="shared" si="2"/>
        <v>12960</v>
      </c>
      <c r="R35" s="1170">
        <v>12960</v>
      </c>
      <c r="S35" s="1105" t="s">
        <v>1042</v>
      </c>
      <c r="T35" s="1102" t="s">
        <v>971</v>
      </c>
      <c r="U35" s="1091" t="s">
        <v>1048</v>
      </c>
      <c r="V35" s="979" t="s">
        <v>993</v>
      </c>
      <c r="W35" s="989">
        <f t="shared" si="3"/>
        <v>12960</v>
      </c>
      <c r="X35" s="989"/>
      <c r="Y35" s="989"/>
    </row>
    <row r="36" spans="1:25" ht="45" x14ac:dyDescent="0.25">
      <c r="A36" s="958">
        <v>32</v>
      </c>
      <c r="B36" s="959" t="s">
        <v>798</v>
      </c>
      <c r="C36" s="959" t="s">
        <v>804</v>
      </c>
      <c r="D36" s="961" t="s">
        <v>797</v>
      </c>
      <c r="E36" s="960" t="s">
        <v>800</v>
      </c>
      <c r="F36" s="961" t="s">
        <v>847</v>
      </c>
      <c r="G36" s="961" t="s">
        <v>848</v>
      </c>
      <c r="H36" s="961" t="s">
        <v>323</v>
      </c>
      <c r="I36" s="994" t="s">
        <v>802</v>
      </c>
      <c r="J36" s="996">
        <v>450</v>
      </c>
      <c r="K36" s="996">
        <v>8</v>
      </c>
      <c r="L36" s="996"/>
      <c r="M36" s="997">
        <f t="shared" si="0"/>
        <v>4320</v>
      </c>
      <c r="N36" s="997">
        <f t="shared" si="4"/>
        <v>4320</v>
      </c>
      <c r="O36" s="997">
        <f t="shared" si="1"/>
        <v>0</v>
      </c>
      <c r="P36" s="1094">
        <v>1</v>
      </c>
      <c r="Q36" s="997">
        <f t="shared" si="2"/>
        <v>4320</v>
      </c>
      <c r="R36" s="1170">
        <v>4320</v>
      </c>
      <c r="S36" s="1105" t="s">
        <v>1042</v>
      </c>
      <c r="T36" s="1102" t="s">
        <v>971</v>
      </c>
      <c r="U36" s="1091" t="s">
        <v>1049</v>
      </c>
      <c r="V36" s="979" t="s">
        <v>993</v>
      </c>
      <c r="W36" s="989">
        <f t="shared" si="3"/>
        <v>4320</v>
      </c>
      <c r="X36" s="989"/>
      <c r="Y36" s="989"/>
    </row>
    <row r="37" spans="1:25" ht="76.5" x14ac:dyDescent="0.25">
      <c r="A37" s="958">
        <v>33</v>
      </c>
      <c r="B37" s="959" t="s">
        <v>798</v>
      </c>
      <c r="C37" s="959" t="s">
        <v>804</v>
      </c>
      <c r="D37" s="961" t="s">
        <v>797</v>
      </c>
      <c r="E37" s="960" t="s">
        <v>800</v>
      </c>
      <c r="F37" s="961" t="s">
        <v>849</v>
      </c>
      <c r="G37" s="961" t="s">
        <v>850</v>
      </c>
      <c r="H37" s="961" t="s">
        <v>731</v>
      </c>
      <c r="I37" s="994" t="s">
        <v>802</v>
      </c>
      <c r="J37" s="996">
        <v>500</v>
      </c>
      <c r="K37" s="996">
        <v>72</v>
      </c>
      <c r="L37" s="996"/>
      <c r="M37" s="997">
        <f t="shared" si="0"/>
        <v>43200</v>
      </c>
      <c r="N37" s="997">
        <f t="shared" si="4"/>
        <v>43200</v>
      </c>
      <c r="O37" s="997">
        <f t="shared" si="1"/>
        <v>0</v>
      </c>
      <c r="P37" s="1094">
        <v>1</v>
      </c>
      <c r="Q37" s="997">
        <f t="shared" si="2"/>
        <v>43200</v>
      </c>
      <c r="R37" s="1170">
        <v>43200</v>
      </c>
      <c r="S37" s="1105" t="s">
        <v>1042</v>
      </c>
      <c r="T37" s="1102" t="s">
        <v>971</v>
      </c>
      <c r="U37" s="1091" t="s">
        <v>1047</v>
      </c>
      <c r="V37" s="979" t="s">
        <v>993</v>
      </c>
      <c r="W37" s="989">
        <f t="shared" si="3"/>
        <v>43200</v>
      </c>
      <c r="X37" s="989"/>
      <c r="Y37" s="989"/>
    </row>
    <row r="38" spans="1:25" ht="51" x14ac:dyDescent="0.25">
      <c r="A38" s="958">
        <v>34</v>
      </c>
      <c r="B38" s="959" t="s">
        <v>798</v>
      </c>
      <c r="C38" s="959" t="s">
        <v>804</v>
      </c>
      <c r="D38" s="961" t="s">
        <v>797</v>
      </c>
      <c r="E38" s="960" t="s">
        <v>800</v>
      </c>
      <c r="F38" s="961" t="s">
        <v>851</v>
      </c>
      <c r="G38" s="961" t="s">
        <v>850</v>
      </c>
      <c r="H38" s="961" t="s">
        <v>731</v>
      </c>
      <c r="I38" s="994" t="s">
        <v>802</v>
      </c>
      <c r="J38" s="996">
        <v>450</v>
      </c>
      <c r="K38" s="996">
        <v>272</v>
      </c>
      <c r="L38" s="996"/>
      <c r="M38" s="997">
        <f t="shared" si="0"/>
        <v>146880</v>
      </c>
      <c r="N38" s="997">
        <f t="shared" si="4"/>
        <v>146880</v>
      </c>
      <c r="O38" s="997">
        <f t="shared" si="1"/>
        <v>0</v>
      </c>
      <c r="P38" s="1094">
        <v>1</v>
      </c>
      <c r="Q38" s="997">
        <f t="shared" si="2"/>
        <v>146880</v>
      </c>
      <c r="R38" s="1170">
        <v>146880</v>
      </c>
      <c r="S38" s="1105" t="s">
        <v>1042</v>
      </c>
      <c r="T38" s="1102" t="s">
        <v>971</v>
      </c>
      <c r="U38" s="1091" t="s">
        <v>1044</v>
      </c>
      <c r="V38" s="979" t="s">
        <v>993</v>
      </c>
      <c r="W38" s="989">
        <f t="shared" si="3"/>
        <v>146880</v>
      </c>
      <c r="X38" s="989"/>
      <c r="Y38" s="989"/>
    </row>
    <row r="39" spans="1:25" ht="38.25" x14ac:dyDescent="0.25">
      <c r="A39" s="958">
        <v>35</v>
      </c>
      <c r="B39" s="959" t="s">
        <v>798</v>
      </c>
      <c r="C39" s="959" t="s">
        <v>804</v>
      </c>
      <c r="D39" s="961" t="s">
        <v>797</v>
      </c>
      <c r="E39" s="960" t="s">
        <v>800</v>
      </c>
      <c r="F39" s="961" t="s">
        <v>852</v>
      </c>
      <c r="G39" s="961" t="s">
        <v>850</v>
      </c>
      <c r="H39" s="961" t="s">
        <v>731</v>
      </c>
      <c r="I39" s="994" t="s">
        <v>802</v>
      </c>
      <c r="J39" s="996">
        <v>400</v>
      </c>
      <c r="K39" s="996">
        <v>56</v>
      </c>
      <c r="L39" s="996"/>
      <c r="M39" s="997">
        <f t="shared" si="0"/>
        <v>26880</v>
      </c>
      <c r="N39" s="997">
        <f t="shared" si="4"/>
        <v>26880</v>
      </c>
      <c r="O39" s="997">
        <f t="shared" si="1"/>
        <v>0</v>
      </c>
      <c r="P39" s="1094">
        <v>1</v>
      </c>
      <c r="Q39" s="997">
        <f t="shared" si="2"/>
        <v>26880</v>
      </c>
      <c r="R39" s="1170">
        <v>26880</v>
      </c>
      <c r="S39" s="1105" t="s">
        <v>1042</v>
      </c>
      <c r="T39" s="1102" t="s">
        <v>971</v>
      </c>
      <c r="U39" s="1091" t="s">
        <v>1050</v>
      </c>
      <c r="V39" s="979" t="s">
        <v>993</v>
      </c>
      <c r="W39" s="989">
        <f t="shared" si="3"/>
        <v>26880</v>
      </c>
      <c r="X39" s="989"/>
      <c r="Y39" s="989"/>
    </row>
    <row r="40" spans="1:25" ht="76.5" x14ac:dyDescent="0.25">
      <c r="A40" s="958">
        <v>36</v>
      </c>
      <c r="B40" s="959" t="s">
        <v>798</v>
      </c>
      <c r="C40" s="959" t="s">
        <v>799</v>
      </c>
      <c r="D40" s="961" t="s">
        <v>797</v>
      </c>
      <c r="E40" s="960" t="s">
        <v>800</v>
      </c>
      <c r="F40" s="961" t="s">
        <v>853</v>
      </c>
      <c r="G40" s="961" t="s">
        <v>854</v>
      </c>
      <c r="H40" s="961" t="s">
        <v>731</v>
      </c>
      <c r="I40" s="994" t="s">
        <v>802</v>
      </c>
      <c r="J40" s="996">
        <v>500</v>
      </c>
      <c r="K40" s="996">
        <v>56</v>
      </c>
      <c r="L40" s="996"/>
      <c r="M40" s="997">
        <f t="shared" si="0"/>
        <v>33600</v>
      </c>
      <c r="N40" s="997">
        <f t="shared" si="4"/>
        <v>33600</v>
      </c>
      <c r="O40" s="997">
        <f t="shared" si="1"/>
        <v>0</v>
      </c>
      <c r="P40" s="1094">
        <v>1</v>
      </c>
      <c r="Q40" s="997">
        <f t="shared" si="2"/>
        <v>33600</v>
      </c>
      <c r="R40" s="1170">
        <v>33600</v>
      </c>
      <c r="S40" s="1105" t="s">
        <v>1042</v>
      </c>
      <c r="T40" s="1102" t="s">
        <v>971</v>
      </c>
      <c r="U40" s="1091" t="s">
        <v>1046</v>
      </c>
      <c r="V40" s="979" t="s">
        <v>993</v>
      </c>
      <c r="W40" s="989">
        <f t="shared" si="3"/>
        <v>33600</v>
      </c>
      <c r="X40" s="989"/>
      <c r="Y40" s="989"/>
    </row>
    <row r="41" spans="1:25" ht="102" x14ac:dyDescent="0.25">
      <c r="A41" s="958">
        <v>37</v>
      </c>
      <c r="B41" s="959" t="s">
        <v>798</v>
      </c>
      <c r="C41" s="959" t="s">
        <v>799</v>
      </c>
      <c r="D41" s="961" t="s">
        <v>797</v>
      </c>
      <c r="E41" s="960" t="s">
        <v>800</v>
      </c>
      <c r="F41" s="961" t="s">
        <v>855</v>
      </c>
      <c r="G41" s="961"/>
      <c r="H41" s="961" t="s">
        <v>731</v>
      </c>
      <c r="I41" s="1097" t="s">
        <v>802</v>
      </c>
      <c r="J41" s="1098">
        <v>450</v>
      </c>
      <c r="K41" s="1098">
        <v>136</v>
      </c>
      <c r="L41" s="996"/>
      <c r="M41" s="1095">
        <f t="shared" si="0"/>
        <v>73440</v>
      </c>
      <c r="N41" s="1095">
        <f t="shared" si="4"/>
        <v>73440</v>
      </c>
      <c r="O41" s="1095">
        <f t="shared" si="1"/>
        <v>0</v>
      </c>
      <c r="P41" s="1099">
        <v>1</v>
      </c>
      <c r="Q41" s="1095">
        <f t="shared" si="2"/>
        <v>73440</v>
      </c>
      <c r="R41" s="1170">
        <v>73440</v>
      </c>
      <c r="S41" s="1105" t="s">
        <v>1042</v>
      </c>
      <c r="T41" s="1103" t="s">
        <v>971</v>
      </c>
      <c r="U41" s="1092" t="s">
        <v>1051</v>
      </c>
      <c r="V41" s="979" t="s">
        <v>993</v>
      </c>
      <c r="W41" s="989">
        <f t="shared" si="3"/>
        <v>73440</v>
      </c>
      <c r="X41" s="989"/>
      <c r="Y41" s="989"/>
    </row>
    <row r="42" spans="1:25" ht="306" x14ac:dyDescent="0.25">
      <c r="A42" s="958">
        <v>38</v>
      </c>
      <c r="B42" s="959" t="s">
        <v>798</v>
      </c>
      <c r="C42" s="959" t="s">
        <v>952</v>
      </c>
      <c r="D42" s="961" t="s">
        <v>797</v>
      </c>
      <c r="E42" s="960" t="s">
        <v>928</v>
      </c>
      <c r="F42" s="961" t="s">
        <v>953</v>
      </c>
      <c r="G42" s="961"/>
      <c r="H42" s="961" t="s">
        <v>731</v>
      </c>
      <c r="I42" s="1097" t="s">
        <v>954</v>
      </c>
      <c r="J42" s="1158">
        <f>24.29</f>
        <v>24.29</v>
      </c>
      <c r="K42" s="1098">
        <f>160*13</f>
        <v>2080</v>
      </c>
      <c r="L42" s="996"/>
      <c r="M42" s="1095">
        <f t="shared" ref="M42:M47" si="5">ROUND(J42*K42*1,2)</f>
        <v>50523.199999999997</v>
      </c>
      <c r="N42" s="1095">
        <f t="shared" si="4"/>
        <v>50523.199999999997</v>
      </c>
      <c r="O42" s="1095">
        <f t="shared" si="1"/>
        <v>0</v>
      </c>
      <c r="P42" s="1099">
        <v>1</v>
      </c>
      <c r="Q42" s="1095">
        <f t="shared" si="2"/>
        <v>50523.199999999997</v>
      </c>
      <c r="R42" s="1170">
        <v>49793.42</v>
      </c>
      <c r="S42" s="1105"/>
      <c r="T42" s="1103" t="s">
        <v>955</v>
      </c>
      <c r="U42" s="1092" t="s">
        <v>956</v>
      </c>
      <c r="V42" s="979" t="s">
        <v>993</v>
      </c>
      <c r="W42" s="989">
        <f t="shared" si="3"/>
        <v>49793.42</v>
      </c>
      <c r="X42" s="989"/>
      <c r="Y42" s="989"/>
    </row>
    <row r="43" spans="1:25" ht="89.25" x14ac:dyDescent="0.25">
      <c r="A43" s="958">
        <v>39</v>
      </c>
      <c r="B43" s="959" t="s">
        <v>798</v>
      </c>
      <c r="C43" s="959" t="s">
        <v>952</v>
      </c>
      <c r="D43" s="961" t="s">
        <v>797</v>
      </c>
      <c r="E43" s="960" t="s">
        <v>928</v>
      </c>
      <c r="F43" s="961" t="s">
        <v>957</v>
      </c>
      <c r="G43" s="961"/>
      <c r="H43" s="961" t="s">
        <v>731</v>
      </c>
      <c r="I43" s="1097" t="s">
        <v>954</v>
      </c>
      <c r="J43" s="1158">
        <f>24.29</f>
        <v>24.29</v>
      </c>
      <c r="K43" s="1098">
        <f>ROUND(28.8*8*12,)</f>
        <v>2765</v>
      </c>
      <c r="L43" s="996"/>
      <c r="M43" s="1095">
        <f t="shared" si="5"/>
        <v>67161.850000000006</v>
      </c>
      <c r="N43" s="1095">
        <f t="shared" si="4"/>
        <v>67161.850000000006</v>
      </c>
      <c r="O43" s="1095">
        <f>M43-N43</f>
        <v>0</v>
      </c>
      <c r="P43" s="1099">
        <v>1</v>
      </c>
      <c r="Q43" s="1095">
        <f t="shared" si="2"/>
        <v>67161.850000000006</v>
      </c>
      <c r="R43" s="1170">
        <v>54039.55</v>
      </c>
      <c r="S43" s="1105"/>
      <c r="T43" s="1103" t="s">
        <v>955</v>
      </c>
      <c r="U43" s="1092" t="s">
        <v>1052</v>
      </c>
      <c r="V43" s="979" t="s">
        <v>993</v>
      </c>
      <c r="W43" s="989">
        <f t="shared" si="3"/>
        <v>54039.55</v>
      </c>
      <c r="X43" s="989"/>
      <c r="Y43" s="989"/>
    </row>
    <row r="44" spans="1:25" ht="140.25" x14ac:dyDescent="0.25">
      <c r="A44" s="958">
        <v>40</v>
      </c>
      <c r="B44" s="959" t="s">
        <v>798</v>
      </c>
      <c r="C44" s="959" t="s">
        <v>952</v>
      </c>
      <c r="D44" s="961" t="s">
        <v>797</v>
      </c>
      <c r="E44" s="960" t="s">
        <v>928</v>
      </c>
      <c r="F44" s="961" t="s">
        <v>958</v>
      </c>
      <c r="G44" s="961"/>
      <c r="H44" s="961" t="s">
        <v>731</v>
      </c>
      <c r="I44" s="1097" t="s">
        <v>954</v>
      </c>
      <c r="J44" s="1158">
        <f>40.48</f>
        <v>40.479999999999997</v>
      </c>
      <c r="K44" s="1098">
        <f>ROUND(29.2*8,)</f>
        <v>234</v>
      </c>
      <c r="L44" s="996"/>
      <c r="M44" s="1095">
        <f t="shared" si="5"/>
        <v>9472.32</v>
      </c>
      <c r="N44" s="1095">
        <f t="shared" si="4"/>
        <v>9472.32</v>
      </c>
      <c r="O44" s="1095">
        <v>0</v>
      </c>
      <c r="P44" s="1099">
        <v>1</v>
      </c>
      <c r="Q44" s="1095">
        <f t="shared" si="2"/>
        <v>9472.32</v>
      </c>
      <c r="R44" s="1170">
        <v>9174.7000000000007</v>
      </c>
      <c r="S44" s="1105"/>
      <c r="T44" s="1103" t="s">
        <v>955</v>
      </c>
      <c r="U44" s="1092" t="s">
        <v>959</v>
      </c>
      <c r="V44" s="979" t="s">
        <v>993</v>
      </c>
      <c r="W44" s="989">
        <f t="shared" si="3"/>
        <v>9174.7000000000007</v>
      </c>
      <c r="X44" s="989"/>
      <c r="Y44" s="989"/>
    </row>
    <row r="45" spans="1:25" ht="89.25" x14ac:dyDescent="0.25">
      <c r="A45" s="958">
        <v>41</v>
      </c>
      <c r="B45" s="959" t="s">
        <v>798</v>
      </c>
      <c r="C45" s="959" t="s">
        <v>952</v>
      </c>
      <c r="D45" s="961" t="s">
        <v>797</v>
      </c>
      <c r="E45" s="960" t="s">
        <v>928</v>
      </c>
      <c r="F45" s="961" t="s">
        <v>960</v>
      </c>
      <c r="G45" s="961"/>
      <c r="H45" s="961" t="s">
        <v>731</v>
      </c>
      <c r="I45" s="1097" t="s">
        <v>954</v>
      </c>
      <c r="J45" s="1158">
        <f>24.29</f>
        <v>24.29</v>
      </c>
      <c r="K45" s="1098">
        <f>ROUND(8*28.8*24,)</f>
        <v>5530</v>
      </c>
      <c r="L45" s="996"/>
      <c r="M45" s="1095">
        <f t="shared" si="5"/>
        <v>134323.70000000001</v>
      </c>
      <c r="N45" s="1095">
        <f t="shared" si="4"/>
        <v>134323.70000000001</v>
      </c>
      <c r="O45" s="1095">
        <v>0</v>
      </c>
      <c r="P45" s="1099">
        <v>1</v>
      </c>
      <c r="Q45" s="1095">
        <f t="shared" si="2"/>
        <v>134323.70000000001</v>
      </c>
      <c r="R45" s="1170">
        <v>69870.350000000006</v>
      </c>
      <c r="S45" s="1105"/>
      <c r="T45" s="1103" t="s">
        <v>955</v>
      </c>
      <c r="U45" s="1092" t="s">
        <v>1053</v>
      </c>
      <c r="V45" s="979" t="s">
        <v>993</v>
      </c>
      <c r="W45" s="989">
        <f t="shared" si="3"/>
        <v>69870.350000000006</v>
      </c>
      <c r="X45" s="989"/>
      <c r="Y45" s="989"/>
    </row>
    <row r="46" spans="1:25" ht="89.25" x14ac:dyDescent="0.25">
      <c r="A46" s="958">
        <v>42</v>
      </c>
      <c r="B46" s="959" t="s">
        <v>798</v>
      </c>
      <c r="C46" s="959" t="s">
        <v>952</v>
      </c>
      <c r="D46" s="961" t="s">
        <v>797</v>
      </c>
      <c r="E46" s="960" t="s">
        <v>928</v>
      </c>
      <c r="F46" s="961" t="s">
        <v>961</v>
      </c>
      <c r="G46" s="961"/>
      <c r="H46" s="961" t="s">
        <v>731</v>
      </c>
      <c r="I46" s="1097" t="s">
        <v>954</v>
      </c>
      <c r="J46" s="1158">
        <f>24.29</f>
        <v>24.29</v>
      </c>
      <c r="K46" s="1098">
        <f>8*48</f>
        <v>384</v>
      </c>
      <c r="L46" s="996"/>
      <c r="M46" s="1095">
        <f t="shared" si="5"/>
        <v>9327.36</v>
      </c>
      <c r="N46" s="1095">
        <f t="shared" si="4"/>
        <v>9327.36</v>
      </c>
      <c r="O46" s="1095">
        <v>0</v>
      </c>
      <c r="P46" s="1099">
        <v>1</v>
      </c>
      <c r="Q46" s="1095">
        <f t="shared" si="2"/>
        <v>9327.36</v>
      </c>
      <c r="R46" s="1170">
        <v>4956.6499999999996</v>
      </c>
      <c r="S46" s="1105"/>
      <c r="T46" s="1103" t="s">
        <v>955</v>
      </c>
      <c r="U46" s="1092" t="s">
        <v>962</v>
      </c>
      <c r="V46" s="979" t="s">
        <v>993</v>
      </c>
      <c r="W46" s="989">
        <f t="shared" si="3"/>
        <v>4956.6499999999996</v>
      </c>
      <c r="X46" s="989"/>
      <c r="Y46" s="989"/>
    </row>
    <row r="47" spans="1:25" ht="89.25" x14ac:dyDescent="0.25">
      <c r="A47" s="958">
        <v>43</v>
      </c>
      <c r="B47" s="959" t="s">
        <v>798</v>
      </c>
      <c r="C47" s="959" t="s">
        <v>952</v>
      </c>
      <c r="D47" s="961" t="s">
        <v>797</v>
      </c>
      <c r="E47" s="960" t="s">
        <v>928</v>
      </c>
      <c r="F47" s="961" t="s">
        <v>963</v>
      </c>
      <c r="G47" s="961"/>
      <c r="H47" s="961" t="s">
        <v>731</v>
      </c>
      <c r="I47" s="1097" t="s">
        <v>954</v>
      </c>
      <c r="J47" s="1158">
        <f>24.29</f>
        <v>24.29</v>
      </c>
      <c r="K47" s="1098">
        <f>8*48</f>
        <v>384</v>
      </c>
      <c r="L47" s="996"/>
      <c r="M47" s="1095">
        <f t="shared" si="5"/>
        <v>9327.36</v>
      </c>
      <c r="N47" s="1095">
        <f t="shared" si="4"/>
        <v>9327.36</v>
      </c>
      <c r="O47" s="1095">
        <v>0</v>
      </c>
      <c r="P47" s="1099">
        <v>1</v>
      </c>
      <c r="Q47" s="1095">
        <f t="shared" si="2"/>
        <v>9327.36</v>
      </c>
      <c r="R47" s="1170">
        <v>9319.43</v>
      </c>
      <c r="S47" s="1105"/>
      <c r="T47" s="1103" t="s">
        <v>955</v>
      </c>
      <c r="U47" s="1092" t="s">
        <v>1054</v>
      </c>
      <c r="V47" s="979" t="s">
        <v>993</v>
      </c>
      <c r="W47" s="989">
        <f t="shared" si="3"/>
        <v>9319.43</v>
      </c>
      <c r="X47" s="989"/>
      <c r="Y47" s="989"/>
    </row>
    <row r="48" spans="1:25" x14ac:dyDescent="0.25">
      <c r="A48" s="977" t="s">
        <v>856</v>
      </c>
      <c r="B48" s="980"/>
      <c r="C48" s="980"/>
      <c r="D48" s="978"/>
      <c r="E48" s="980"/>
      <c r="F48" s="980"/>
      <c r="G48" s="980"/>
      <c r="H48" s="980"/>
      <c r="I48" s="980"/>
      <c r="J48" s="1159"/>
      <c r="K48" s="980"/>
      <c r="L48" s="980"/>
      <c r="M48" s="1160"/>
      <c r="N48" s="1160"/>
      <c r="O48" s="1160"/>
      <c r="P48" s="1161"/>
      <c r="Q48" s="1160"/>
      <c r="R48" s="1170"/>
      <c r="S48" s="1162"/>
      <c r="T48" s="1163"/>
      <c r="U48" s="978"/>
      <c r="V48" s="980"/>
      <c r="W48" s="990"/>
      <c r="X48" s="990"/>
      <c r="Y48" s="990"/>
    </row>
    <row r="49" spans="1:25" ht="45" x14ac:dyDescent="0.25">
      <c r="A49" s="958">
        <v>44</v>
      </c>
      <c r="B49" s="959" t="s">
        <v>798</v>
      </c>
      <c r="C49" s="959" t="s">
        <v>857</v>
      </c>
      <c r="D49" s="961" t="s">
        <v>857</v>
      </c>
      <c r="E49" s="960" t="s">
        <v>994</v>
      </c>
      <c r="F49" s="961" t="s">
        <v>315</v>
      </c>
      <c r="G49" s="961"/>
      <c r="H49" s="961" t="s">
        <v>813</v>
      </c>
      <c r="I49" s="1097" t="s">
        <v>277</v>
      </c>
      <c r="J49" s="1158">
        <v>3376.625</v>
      </c>
      <c r="K49" s="1098">
        <v>240</v>
      </c>
      <c r="L49" s="996"/>
      <c r="M49" s="1095">
        <f>ROUND(J49*K49*1.2,)</f>
        <v>972468</v>
      </c>
      <c r="N49" s="1095">
        <f t="shared" si="4"/>
        <v>972468</v>
      </c>
      <c r="O49" s="1095">
        <v>0</v>
      </c>
      <c r="P49" s="1099">
        <v>1</v>
      </c>
      <c r="Q49" s="1095">
        <f t="shared" si="2"/>
        <v>972468</v>
      </c>
      <c r="R49" s="1170">
        <v>794592</v>
      </c>
      <c r="S49" s="1105"/>
      <c r="T49" s="1103" t="s">
        <v>971</v>
      </c>
      <c r="U49" s="1092" t="s">
        <v>966</v>
      </c>
      <c r="V49" s="979" t="s">
        <v>993</v>
      </c>
      <c r="W49" s="989"/>
      <c r="X49" s="989">
        <f>R49</f>
        <v>794592</v>
      </c>
      <c r="Y49" s="989"/>
    </row>
    <row r="50" spans="1:25" ht="45" x14ac:dyDescent="0.25">
      <c r="A50" s="958">
        <v>45</v>
      </c>
      <c r="B50" s="959" t="s">
        <v>798</v>
      </c>
      <c r="C50" s="959" t="s">
        <v>857</v>
      </c>
      <c r="D50" s="961" t="s">
        <v>857</v>
      </c>
      <c r="E50" s="960" t="s">
        <v>994</v>
      </c>
      <c r="F50" s="961" t="s">
        <v>967</v>
      </c>
      <c r="G50" s="961"/>
      <c r="H50" s="961" t="s">
        <v>731</v>
      </c>
      <c r="I50" s="1097" t="s">
        <v>277</v>
      </c>
      <c r="J50" s="1158">
        <v>180</v>
      </c>
      <c r="K50" s="1098">
        <v>240</v>
      </c>
      <c r="L50" s="996"/>
      <c r="M50" s="1095">
        <f>ROUND(J50*K50*1.2,)</f>
        <v>51840</v>
      </c>
      <c r="N50" s="1095">
        <f t="shared" si="4"/>
        <v>51840</v>
      </c>
      <c r="O50" s="1095">
        <v>0</v>
      </c>
      <c r="P50" s="1099">
        <v>1</v>
      </c>
      <c r="Q50" s="1095">
        <f t="shared" si="2"/>
        <v>51840</v>
      </c>
      <c r="R50" s="1170">
        <v>5992.32</v>
      </c>
      <c r="S50" s="1105"/>
      <c r="T50" s="1103" t="s">
        <v>971</v>
      </c>
      <c r="U50" s="1092" t="s">
        <v>968</v>
      </c>
      <c r="V50" s="979" t="s">
        <v>993</v>
      </c>
      <c r="W50" s="989"/>
      <c r="X50" s="989">
        <f>R50</f>
        <v>5992.32</v>
      </c>
      <c r="Y50" s="989"/>
    </row>
    <row r="51" spans="1:25" ht="105" x14ac:dyDescent="0.25">
      <c r="A51" s="958">
        <v>46</v>
      </c>
      <c r="B51" s="959" t="s">
        <v>798</v>
      </c>
      <c r="C51" s="959" t="s">
        <v>857</v>
      </c>
      <c r="D51" s="961" t="s">
        <v>857</v>
      </c>
      <c r="E51" s="960" t="s">
        <v>800</v>
      </c>
      <c r="F51" s="961" t="s">
        <v>969</v>
      </c>
      <c r="G51" s="961"/>
      <c r="H51" s="961" t="s">
        <v>731</v>
      </c>
      <c r="I51" s="1097" t="s">
        <v>277</v>
      </c>
      <c r="J51" s="1158">
        <v>748.15899999999999</v>
      </c>
      <c r="K51" s="1098">
        <v>24</v>
      </c>
      <c r="L51" s="996"/>
      <c r="M51" s="1095">
        <f>ROUND(J51*K51*1.2,)</f>
        <v>21547</v>
      </c>
      <c r="N51" s="1095">
        <v>21547</v>
      </c>
      <c r="O51" s="1095">
        <v>0</v>
      </c>
      <c r="P51" s="1099">
        <v>1</v>
      </c>
      <c r="Q51" s="1095">
        <f t="shared" si="2"/>
        <v>21547</v>
      </c>
      <c r="R51" s="1170">
        <v>20008.8</v>
      </c>
      <c r="S51" s="1105"/>
      <c r="T51" s="1103" t="s">
        <v>971</v>
      </c>
      <c r="U51" s="1092" t="s">
        <v>1055</v>
      </c>
      <c r="V51" s="979" t="s">
        <v>993</v>
      </c>
      <c r="W51" s="989"/>
      <c r="X51" s="989">
        <f>R51</f>
        <v>20008.8</v>
      </c>
      <c r="Y51" s="989"/>
    </row>
    <row r="52" spans="1:25" ht="135" x14ac:dyDescent="0.25">
      <c r="A52" s="958">
        <v>47</v>
      </c>
      <c r="B52" s="959" t="s">
        <v>798</v>
      </c>
      <c r="C52" s="959" t="s">
        <v>857</v>
      </c>
      <c r="D52" s="961" t="s">
        <v>857</v>
      </c>
      <c r="E52" s="960" t="s">
        <v>800</v>
      </c>
      <c r="F52" s="961" t="s">
        <v>970</v>
      </c>
      <c r="G52" s="961"/>
      <c r="H52" s="961" t="s">
        <v>731</v>
      </c>
      <c r="I52" s="1097" t="s">
        <v>277</v>
      </c>
      <c r="J52" s="1158">
        <v>152120</v>
      </c>
      <c r="K52" s="1098">
        <v>1</v>
      </c>
      <c r="L52" s="996"/>
      <c r="M52" s="1095">
        <f>ROUND(J52*K52*1.2,)</f>
        <v>182544</v>
      </c>
      <c r="N52" s="1095">
        <f>M52</f>
        <v>182544</v>
      </c>
      <c r="O52" s="1095">
        <f>M52-N52</f>
        <v>0</v>
      </c>
      <c r="P52" s="1099">
        <v>1</v>
      </c>
      <c r="Q52" s="1095">
        <f t="shared" si="2"/>
        <v>182544</v>
      </c>
      <c r="R52" s="1170">
        <v>182544</v>
      </c>
      <c r="S52" s="1105" t="s">
        <v>1042</v>
      </c>
      <c r="T52" s="1103" t="s">
        <v>971</v>
      </c>
      <c r="U52" s="1092" t="s">
        <v>972</v>
      </c>
      <c r="V52" s="979" t="s">
        <v>993</v>
      </c>
      <c r="W52" s="989"/>
      <c r="X52" s="989">
        <f>R52</f>
        <v>182544</v>
      </c>
      <c r="Y52" s="989"/>
    </row>
    <row r="53" spans="1:25" ht="75" x14ac:dyDescent="0.25">
      <c r="A53" s="958">
        <v>48</v>
      </c>
      <c r="B53" s="959" t="s">
        <v>798</v>
      </c>
      <c r="C53" s="959" t="s">
        <v>857</v>
      </c>
      <c r="D53" s="961" t="s">
        <v>857</v>
      </c>
      <c r="E53" s="960" t="s">
        <v>800</v>
      </c>
      <c r="F53" s="961" t="s">
        <v>973</v>
      </c>
      <c r="G53" s="961"/>
      <c r="H53" s="961" t="s">
        <v>731</v>
      </c>
      <c r="I53" s="1097" t="s">
        <v>277</v>
      </c>
      <c r="J53" s="1158">
        <v>115.876</v>
      </c>
      <c r="K53" s="1098">
        <v>331</v>
      </c>
      <c r="L53" s="996"/>
      <c r="M53" s="1095">
        <f>ROUND(J53*K53*1.2,)</f>
        <v>46026</v>
      </c>
      <c r="N53" s="1095">
        <f>M53</f>
        <v>46026</v>
      </c>
      <c r="O53" s="1095">
        <f>M53-N53</f>
        <v>0</v>
      </c>
      <c r="P53" s="1099">
        <v>1</v>
      </c>
      <c r="Q53" s="1095">
        <f t="shared" si="2"/>
        <v>46026</v>
      </c>
      <c r="R53" s="1170">
        <v>31025.919999999998</v>
      </c>
      <c r="S53" s="1105"/>
      <c r="T53" s="1103" t="s">
        <v>971</v>
      </c>
      <c r="U53" s="1092" t="s">
        <v>1056</v>
      </c>
      <c r="V53" s="979" t="s">
        <v>993</v>
      </c>
      <c r="W53" s="989"/>
      <c r="X53" s="989">
        <f>R53</f>
        <v>31025.919999999998</v>
      </c>
      <c r="Y53" s="989"/>
    </row>
    <row r="54" spans="1:25" x14ac:dyDescent="0.25">
      <c r="A54" s="977" t="s">
        <v>860</v>
      </c>
      <c r="B54" s="980"/>
      <c r="C54" s="980"/>
      <c r="D54" s="978"/>
      <c r="E54" s="980"/>
      <c r="F54" s="980"/>
      <c r="G54" s="980"/>
      <c r="H54" s="980"/>
      <c r="I54" s="980"/>
      <c r="J54" s="1159"/>
      <c r="K54" s="980"/>
      <c r="L54" s="980"/>
      <c r="M54" s="1160"/>
      <c r="N54" s="1160"/>
      <c r="O54" s="1160"/>
      <c r="P54" s="1161"/>
      <c r="Q54" s="1160"/>
      <c r="R54" s="1170"/>
      <c r="S54" s="1162"/>
      <c r="T54" s="1163"/>
      <c r="U54" s="978"/>
      <c r="V54" s="980"/>
      <c r="W54" s="990"/>
      <c r="X54" s="990"/>
      <c r="Y54" s="990"/>
    </row>
    <row r="55" spans="1:25" ht="45" x14ac:dyDescent="0.25">
      <c r="A55" s="994">
        <v>49</v>
      </c>
      <c r="B55" s="959" t="s">
        <v>798</v>
      </c>
      <c r="C55" s="959" t="s">
        <v>861</v>
      </c>
      <c r="D55" s="961" t="s">
        <v>860</v>
      </c>
      <c r="E55" s="960" t="s">
        <v>800</v>
      </c>
      <c r="F55" s="961" t="s">
        <v>862</v>
      </c>
      <c r="G55" s="961" t="s">
        <v>639</v>
      </c>
      <c r="H55" s="961" t="s">
        <v>731</v>
      </c>
      <c r="I55" s="994" t="s">
        <v>802</v>
      </c>
      <c r="J55" s="996">
        <v>450</v>
      </c>
      <c r="K55" s="996">
        <v>208</v>
      </c>
      <c r="L55" s="996"/>
      <c r="M55" s="997">
        <f t="shared" ref="M55:M82" si="6">ROUND(J55*K55*1.2,)</f>
        <v>112320</v>
      </c>
      <c r="N55" s="997">
        <f>M55</f>
        <v>112320</v>
      </c>
      <c r="O55" s="997">
        <f t="shared" ref="O55:O88" si="7">M55-N55</f>
        <v>0</v>
      </c>
      <c r="P55" s="1094">
        <v>1</v>
      </c>
      <c r="Q55" s="997">
        <f t="shared" si="2"/>
        <v>112320</v>
      </c>
      <c r="R55" s="1170">
        <v>112320</v>
      </c>
      <c r="S55" s="1105" t="s">
        <v>1042</v>
      </c>
      <c r="T55" s="1102" t="s">
        <v>971</v>
      </c>
      <c r="U55" s="1091" t="s">
        <v>1049</v>
      </c>
      <c r="V55" s="979" t="s">
        <v>993</v>
      </c>
      <c r="W55" s="989"/>
      <c r="X55" s="989">
        <f t="shared" ref="X55:X89" si="8">R55</f>
        <v>112320</v>
      </c>
      <c r="Y55" s="989"/>
    </row>
    <row r="56" spans="1:25" ht="30" x14ac:dyDescent="0.25">
      <c r="A56" s="994">
        <v>50</v>
      </c>
      <c r="B56" s="959" t="s">
        <v>798</v>
      </c>
      <c r="C56" s="959" t="s">
        <v>861</v>
      </c>
      <c r="D56" s="961" t="s">
        <v>860</v>
      </c>
      <c r="E56" s="960" t="s">
        <v>800</v>
      </c>
      <c r="F56" s="961" t="s">
        <v>863</v>
      </c>
      <c r="G56" s="961" t="s">
        <v>724</v>
      </c>
      <c r="H56" s="961" t="s">
        <v>731</v>
      </c>
      <c r="I56" s="994" t="s">
        <v>802</v>
      </c>
      <c r="J56" s="996">
        <v>450</v>
      </c>
      <c r="K56" s="996">
        <v>864</v>
      </c>
      <c r="L56" s="996"/>
      <c r="M56" s="997">
        <f t="shared" si="6"/>
        <v>466560</v>
      </c>
      <c r="N56" s="997">
        <f t="shared" ref="N56:N89" si="9">M56</f>
        <v>466560</v>
      </c>
      <c r="O56" s="997">
        <f t="shared" si="7"/>
        <v>0</v>
      </c>
      <c r="P56" s="1094">
        <v>1</v>
      </c>
      <c r="Q56" s="997">
        <f t="shared" si="2"/>
        <v>466560</v>
      </c>
      <c r="R56" s="1170">
        <v>466560</v>
      </c>
      <c r="S56" s="1105" t="s">
        <v>1042</v>
      </c>
      <c r="T56" s="1102" t="s">
        <v>971</v>
      </c>
      <c r="U56" s="1091" t="s">
        <v>1049</v>
      </c>
      <c r="V56" s="979" t="s">
        <v>993</v>
      </c>
      <c r="W56" s="989"/>
      <c r="X56" s="989">
        <f t="shared" si="8"/>
        <v>466560</v>
      </c>
      <c r="Y56" s="989"/>
    </row>
    <row r="57" spans="1:25" ht="45" x14ac:dyDescent="0.25">
      <c r="A57" s="994">
        <v>51</v>
      </c>
      <c r="B57" s="959" t="s">
        <v>798</v>
      </c>
      <c r="C57" s="959" t="s">
        <v>864</v>
      </c>
      <c r="D57" s="961" t="s">
        <v>860</v>
      </c>
      <c r="E57" s="960" t="s">
        <v>800</v>
      </c>
      <c r="F57" s="961" t="s">
        <v>865</v>
      </c>
      <c r="G57" s="961" t="s">
        <v>701</v>
      </c>
      <c r="H57" s="961" t="s">
        <v>731</v>
      </c>
      <c r="I57" s="994" t="s">
        <v>802</v>
      </c>
      <c r="J57" s="996">
        <v>450</v>
      </c>
      <c r="K57" s="996">
        <v>224</v>
      </c>
      <c r="L57" s="996"/>
      <c r="M57" s="997">
        <f t="shared" si="6"/>
        <v>120960</v>
      </c>
      <c r="N57" s="997">
        <f t="shared" si="9"/>
        <v>120960</v>
      </c>
      <c r="O57" s="997">
        <f t="shared" si="7"/>
        <v>0</v>
      </c>
      <c r="P57" s="1094">
        <v>1</v>
      </c>
      <c r="Q57" s="997">
        <f t="shared" si="2"/>
        <v>120960</v>
      </c>
      <c r="R57" s="1170">
        <v>120960</v>
      </c>
      <c r="S57" s="1105" t="s">
        <v>1042</v>
      </c>
      <c r="T57" s="1102" t="s">
        <v>971</v>
      </c>
      <c r="U57" s="1091" t="s">
        <v>1049</v>
      </c>
      <c r="V57" s="979" t="s">
        <v>993</v>
      </c>
      <c r="W57" s="989"/>
      <c r="X57" s="989">
        <f t="shared" si="8"/>
        <v>120960</v>
      </c>
      <c r="Y57" s="989"/>
    </row>
    <row r="58" spans="1:25" ht="45" x14ac:dyDescent="0.25">
      <c r="A58" s="994">
        <v>52</v>
      </c>
      <c r="B58" s="959" t="s">
        <v>798</v>
      </c>
      <c r="C58" s="959" t="s">
        <v>866</v>
      </c>
      <c r="D58" s="961" t="s">
        <v>860</v>
      </c>
      <c r="E58" s="960" t="s">
        <v>800</v>
      </c>
      <c r="F58" s="961" t="s">
        <v>867</v>
      </c>
      <c r="G58" s="961" t="s">
        <v>642</v>
      </c>
      <c r="H58" s="961" t="s">
        <v>731</v>
      </c>
      <c r="I58" s="994" t="s">
        <v>802</v>
      </c>
      <c r="J58" s="996">
        <v>450</v>
      </c>
      <c r="K58" s="996">
        <v>104</v>
      </c>
      <c r="L58" s="996"/>
      <c r="M58" s="997">
        <f t="shared" si="6"/>
        <v>56160</v>
      </c>
      <c r="N58" s="997">
        <f t="shared" si="9"/>
        <v>56160</v>
      </c>
      <c r="O58" s="997">
        <f t="shared" si="7"/>
        <v>0</v>
      </c>
      <c r="P58" s="1094">
        <v>1</v>
      </c>
      <c r="Q58" s="997">
        <f t="shared" si="2"/>
        <v>56160</v>
      </c>
      <c r="R58" s="1170">
        <v>56160</v>
      </c>
      <c r="S58" s="1105" t="s">
        <v>1042</v>
      </c>
      <c r="T58" s="1102" t="s">
        <v>971</v>
      </c>
      <c r="U58" s="1091" t="s">
        <v>1049</v>
      </c>
      <c r="V58" s="979" t="s">
        <v>993</v>
      </c>
      <c r="W58" s="989"/>
      <c r="X58" s="989">
        <f t="shared" si="8"/>
        <v>56160</v>
      </c>
      <c r="Y58" s="989"/>
    </row>
    <row r="59" spans="1:25" ht="30" x14ac:dyDescent="0.25">
      <c r="A59" s="994">
        <v>53</v>
      </c>
      <c r="B59" s="959" t="s">
        <v>798</v>
      </c>
      <c r="C59" s="959" t="s">
        <v>861</v>
      </c>
      <c r="D59" s="961" t="s">
        <v>860</v>
      </c>
      <c r="E59" s="960" t="s">
        <v>800</v>
      </c>
      <c r="F59" s="961" t="s">
        <v>868</v>
      </c>
      <c r="G59" s="961" t="s">
        <v>643</v>
      </c>
      <c r="H59" s="961" t="s">
        <v>731</v>
      </c>
      <c r="I59" s="994" t="s">
        <v>802</v>
      </c>
      <c r="J59" s="996">
        <v>450</v>
      </c>
      <c r="K59" s="996">
        <v>168</v>
      </c>
      <c r="L59" s="996"/>
      <c r="M59" s="997">
        <f t="shared" si="6"/>
        <v>90720</v>
      </c>
      <c r="N59" s="997">
        <f t="shared" si="9"/>
        <v>90720</v>
      </c>
      <c r="O59" s="997">
        <f t="shared" si="7"/>
        <v>0</v>
      </c>
      <c r="P59" s="1094">
        <v>1</v>
      </c>
      <c r="Q59" s="997">
        <f t="shared" si="2"/>
        <v>90720</v>
      </c>
      <c r="R59" s="1170">
        <v>90720</v>
      </c>
      <c r="S59" s="1105" t="s">
        <v>1042</v>
      </c>
      <c r="T59" s="1102" t="s">
        <v>971</v>
      </c>
      <c r="U59" s="1091" t="s">
        <v>1049</v>
      </c>
      <c r="V59" s="979" t="s">
        <v>993</v>
      </c>
      <c r="W59" s="989"/>
      <c r="X59" s="989">
        <f t="shared" si="8"/>
        <v>90720</v>
      </c>
      <c r="Y59" s="989"/>
    </row>
    <row r="60" spans="1:25" ht="30" x14ac:dyDescent="0.25">
      <c r="A60" s="994">
        <v>54</v>
      </c>
      <c r="B60" s="959" t="s">
        <v>798</v>
      </c>
      <c r="C60" s="959" t="s">
        <v>866</v>
      </c>
      <c r="D60" s="961" t="s">
        <v>860</v>
      </c>
      <c r="E60" s="960" t="s">
        <v>800</v>
      </c>
      <c r="F60" s="961" t="s">
        <v>869</v>
      </c>
      <c r="G60" s="961" t="s">
        <v>644</v>
      </c>
      <c r="H60" s="961" t="s">
        <v>731</v>
      </c>
      <c r="I60" s="994" t="s">
        <v>802</v>
      </c>
      <c r="J60" s="996">
        <v>450</v>
      </c>
      <c r="K60" s="996">
        <v>240</v>
      </c>
      <c r="L60" s="996"/>
      <c r="M60" s="997">
        <f t="shared" si="6"/>
        <v>129600</v>
      </c>
      <c r="N60" s="997">
        <f t="shared" si="9"/>
        <v>129600</v>
      </c>
      <c r="O60" s="997">
        <f t="shared" si="7"/>
        <v>0</v>
      </c>
      <c r="P60" s="1094">
        <v>1</v>
      </c>
      <c r="Q60" s="997">
        <f t="shared" si="2"/>
        <v>129600</v>
      </c>
      <c r="R60" s="1170">
        <v>129600</v>
      </c>
      <c r="S60" s="1105" t="s">
        <v>1042</v>
      </c>
      <c r="T60" s="1102" t="s">
        <v>971</v>
      </c>
      <c r="U60" s="1091" t="s">
        <v>1049</v>
      </c>
      <c r="V60" s="979" t="s">
        <v>993</v>
      </c>
      <c r="W60" s="989"/>
      <c r="X60" s="989">
        <f t="shared" si="8"/>
        <v>129600</v>
      </c>
      <c r="Y60" s="989"/>
    </row>
    <row r="61" spans="1:25" ht="30" x14ac:dyDescent="0.25">
      <c r="A61" s="994">
        <v>55</v>
      </c>
      <c r="B61" s="959" t="s">
        <v>798</v>
      </c>
      <c r="C61" s="959" t="s">
        <v>866</v>
      </c>
      <c r="D61" s="961" t="s">
        <v>860</v>
      </c>
      <c r="E61" s="960" t="s">
        <v>800</v>
      </c>
      <c r="F61" s="961" t="s">
        <v>870</v>
      </c>
      <c r="G61" s="961" t="s">
        <v>645</v>
      </c>
      <c r="H61" s="961" t="s">
        <v>731</v>
      </c>
      <c r="I61" s="994" t="s">
        <v>802</v>
      </c>
      <c r="J61" s="996">
        <v>450</v>
      </c>
      <c r="K61" s="996">
        <v>96</v>
      </c>
      <c r="L61" s="996"/>
      <c r="M61" s="997">
        <f t="shared" si="6"/>
        <v>51840</v>
      </c>
      <c r="N61" s="997">
        <f t="shared" si="9"/>
        <v>51840</v>
      </c>
      <c r="O61" s="997">
        <f t="shared" si="7"/>
        <v>0</v>
      </c>
      <c r="P61" s="1094">
        <v>1</v>
      </c>
      <c r="Q61" s="997">
        <f t="shared" si="2"/>
        <v>51840</v>
      </c>
      <c r="R61" s="1170">
        <v>51840</v>
      </c>
      <c r="S61" s="1105" t="s">
        <v>1042</v>
      </c>
      <c r="T61" s="1102" t="s">
        <v>971</v>
      </c>
      <c r="U61" s="1091" t="s">
        <v>1049</v>
      </c>
      <c r="V61" s="979" t="s">
        <v>993</v>
      </c>
      <c r="W61" s="989"/>
      <c r="X61" s="989">
        <f t="shared" si="8"/>
        <v>51840</v>
      </c>
      <c r="Y61" s="989"/>
    </row>
    <row r="62" spans="1:25" ht="45" x14ac:dyDescent="0.25">
      <c r="A62" s="994">
        <v>56</v>
      </c>
      <c r="B62" s="959" t="s">
        <v>798</v>
      </c>
      <c r="C62" s="959" t="s">
        <v>864</v>
      </c>
      <c r="D62" s="961" t="s">
        <v>860</v>
      </c>
      <c r="E62" s="960" t="s">
        <v>800</v>
      </c>
      <c r="F62" s="961" t="s">
        <v>871</v>
      </c>
      <c r="G62" s="961" t="s">
        <v>646</v>
      </c>
      <c r="H62" s="961" t="s">
        <v>731</v>
      </c>
      <c r="I62" s="994" t="s">
        <v>802</v>
      </c>
      <c r="J62" s="996">
        <v>450</v>
      </c>
      <c r="K62" s="996">
        <v>112</v>
      </c>
      <c r="L62" s="996"/>
      <c r="M62" s="997">
        <f t="shared" si="6"/>
        <v>60480</v>
      </c>
      <c r="N62" s="997">
        <f t="shared" si="9"/>
        <v>60480</v>
      </c>
      <c r="O62" s="997">
        <f t="shared" si="7"/>
        <v>0</v>
      </c>
      <c r="P62" s="1094">
        <v>1</v>
      </c>
      <c r="Q62" s="997">
        <f t="shared" si="2"/>
        <v>60480</v>
      </c>
      <c r="R62" s="1170">
        <v>60480</v>
      </c>
      <c r="S62" s="1105" t="s">
        <v>1042</v>
      </c>
      <c r="T62" s="1102" t="s">
        <v>971</v>
      </c>
      <c r="U62" s="1091" t="s">
        <v>1049</v>
      </c>
      <c r="V62" s="979" t="s">
        <v>993</v>
      </c>
      <c r="W62" s="989"/>
      <c r="X62" s="989">
        <f t="shared" si="8"/>
        <v>60480</v>
      </c>
      <c r="Y62" s="989"/>
    </row>
    <row r="63" spans="1:25" ht="45" x14ac:dyDescent="0.25">
      <c r="A63" s="994">
        <v>57</v>
      </c>
      <c r="B63" s="959" t="s">
        <v>798</v>
      </c>
      <c r="C63" s="959" t="s">
        <v>864</v>
      </c>
      <c r="D63" s="961" t="s">
        <v>860</v>
      </c>
      <c r="E63" s="960" t="s">
        <v>800</v>
      </c>
      <c r="F63" s="961" t="s">
        <v>872</v>
      </c>
      <c r="G63" s="961" t="s">
        <v>813</v>
      </c>
      <c r="H63" s="961" t="s">
        <v>813</v>
      </c>
      <c r="I63" s="994" t="s">
        <v>802</v>
      </c>
      <c r="J63" s="996">
        <v>450</v>
      </c>
      <c r="K63" s="996">
        <v>136</v>
      </c>
      <c r="L63" s="996"/>
      <c r="M63" s="997">
        <f t="shared" si="6"/>
        <v>73440</v>
      </c>
      <c r="N63" s="997">
        <f t="shared" si="9"/>
        <v>73440</v>
      </c>
      <c r="O63" s="997">
        <f t="shared" si="7"/>
        <v>0</v>
      </c>
      <c r="P63" s="1094">
        <v>1</v>
      </c>
      <c r="Q63" s="997">
        <f t="shared" si="2"/>
        <v>73440</v>
      </c>
      <c r="R63" s="1170">
        <v>73440</v>
      </c>
      <c r="S63" s="1105" t="s">
        <v>1042</v>
      </c>
      <c r="T63" s="1102" t="s">
        <v>971</v>
      </c>
      <c r="U63" s="1091" t="s">
        <v>1049</v>
      </c>
      <c r="V63" s="979" t="s">
        <v>993</v>
      </c>
      <c r="W63" s="989"/>
      <c r="X63" s="989">
        <f t="shared" si="8"/>
        <v>73440</v>
      </c>
      <c r="Y63" s="989"/>
    </row>
    <row r="64" spans="1:25" ht="30" x14ac:dyDescent="0.25">
      <c r="A64" s="994">
        <v>58</v>
      </c>
      <c r="B64" s="959" t="s">
        <v>798</v>
      </c>
      <c r="C64" s="959" t="s">
        <v>864</v>
      </c>
      <c r="D64" s="961" t="s">
        <v>860</v>
      </c>
      <c r="E64" s="960" t="s">
        <v>800</v>
      </c>
      <c r="F64" s="961" t="s">
        <v>873</v>
      </c>
      <c r="G64" s="961" t="s">
        <v>323</v>
      </c>
      <c r="H64" s="961" t="s">
        <v>323</v>
      </c>
      <c r="I64" s="994" t="s">
        <v>802</v>
      </c>
      <c r="J64" s="996">
        <v>450</v>
      </c>
      <c r="K64" s="996">
        <v>112</v>
      </c>
      <c r="L64" s="996"/>
      <c r="M64" s="997">
        <f t="shared" si="6"/>
        <v>60480</v>
      </c>
      <c r="N64" s="997">
        <f t="shared" si="9"/>
        <v>60480</v>
      </c>
      <c r="O64" s="997">
        <f t="shared" si="7"/>
        <v>0</v>
      </c>
      <c r="P64" s="1094">
        <v>1</v>
      </c>
      <c r="Q64" s="997">
        <f t="shared" si="2"/>
        <v>60480</v>
      </c>
      <c r="R64" s="1170">
        <v>60480</v>
      </c>
      <c r="S64" s="1105" t="s">
        <v>1042</v>
      </c>
      <c r="T64" s="1102" t="s">
        <v>971</v>
      </c>
      <c r="U64" s="1091" t="s">
        <v>1049</v>
      </c>
      <c r="V64" s="979" t="s">
        <v>993</v>
      </c>
      <c r="W64" s="989"/>
      <c r="X64" s="989">
        <f t="shared" si="8"/>
        <v>60480</v>
      </c>
      <c r="Y64" s="989"/>
    </row>
    <row r="65" spans="1:25" ht="30" x14ac:dyDescent="0.25">
      <c r="A65" s="994">
        <v>59</v>
      </c>
      <c r="B65" s="959" t="s">
        <v>798</v>
      </c>
      <c r="C65" s="959" t="s">
        <v>864</v>
      </c>
      <c r="D65" s="961" t="s">
        <v>860</v>
      </c>
      <c r="E65" s="960" t="s">
        <v>800</v>
      </c>
      <c r="F65" s="961" t="s">
        <v>874</v>
      </c>
      <c r="G65" s="961" t="s">
        <v>816</v>
      </c>
      <c r="H65" s="961" t="s">
        <v>816</v>
      </c>
      <c r="I65" s="994" t="s">
        <v>802</v>
      </c>
      <c r="J65" s="996">
        <v>450</v>
      </c>
      <c r="K65" s="996">
        <v>5</v>
      </c>
      <c r="L65" s="996"/>
      <c r="M65" s="997">
        <f t="shared" si="6"/>
        <v>2700</v>
      </c>
      <c r="N65" s="997">
        <f t="shared" si="9"/>
        <v>2700</v>
      </c>
      <c r="O65" s="997">
        <f t="shared" si="7"/>
        <v>0</v>
      </c>
      <c r="P65" s="1094">
        <v>1</v>
      </c>
      <c r="Q65" s="997">
        <f t="shared" si="2"/>
        <v>2700</v>
      </c>
      <c r="R65" s="1170">
        <v>2700</v>
      </c>
      <c r="S65" s="1105" t="s">
        <v>1042</v>
      </c>
      <c r="T65" s="1102" t="s">
        <v>971</v>
      </c>
      <c r="U65" s="1091" t="s">
        <v>1048</v>
      </c>
      <c r="V65" s="979" t="s">
        <v>993</v>
      </c>
      <c r="W65" s="989"/>
      <c r="X65" s="989">
        <f t="shared" si="8"/>
        <v>2700</v>
      </c>
      <c r="Y65" s="989"/>
    </row>
    <row r="66" spans="1:25" ht="45" x14ac:dyDescent="0.25">
      <c r="A66" s="994">
        <v>60</v>
      </c>
      <c r="B66" s="959" t="s">
        <v>798</v>
      </c>
      <c r="C66" s="959" t="s">
        <v>861</v>
      </c>
      <c r="D66" s="961" t="s">
        <v>860</v>
      </c>
      <c r="E66" s="960" t="s">
        <v>800</v>
      </c>
      <c r="F66" s="961" t="s">
        <v>875</v>
      </c>
      <c r="G66" s="961" t="s">
        <v>818</v>
      </c>
      <c r="H66" s="961" t="s">
        <v>731</v>
      </c>
      <c r="I66" s="994" t="s">
        <v>802</v>
      </c>
      <c r="J66" s="996">
        <v>450</v>
      </c>
      <c r="K66" s="996">
        <v>88</v>
      </c>
      <c r="L66" s="996"/>
      <c r="M66" s="997">
        <f t="shared" si="6"/>
        <v>47520</v>
      </c>
      <c r="N66" s="997">
        <f t="shared" si="9"/>
        <v>47520</v>
      </c>
      <c r="O66" s="997">
        <f t="shared" si="7"/>
        <v>0</v>
      </c>
      <c r="P66" s="1094">
        <v>1</v>
      </c>
      <c r="Q66" s="997">
        <f t="shared" si="2"/>
        <v>47520</v>
      </c>
      <c r="R66" s="1170">
        <v>47520</v>
      </c>
      <c r="S66" s="1105" t="s">
        <v>1042</v>
      </c>
      <c r="T66" s="1102" t="s">
        <v>971</v>
      </c>
      <c r="U66" s="1091" t="s">
        <v>1048</v>
      </c>
      <c r="V66" s="979" t="s">
        <v>993</v>
      </c>
      <c r="W66" s="989"/>
      <c r="X66" s="989">
        <f t="shared" si="8"/>
        <v>47520</v>
      </c>
      <c r="Y66" s="989"/>
    </row>
    <row r="67" spans="1:25" ht="76.5" x14ac:dyDescent="0.25">
      <c r="A67" s="994">
        <v>61</v>
      </c>
      <c r="B67" s="959" t="s">
        <v>798</v>
      </c>
      <c r="C67" s="959" t="s">
        <v>864</v>
      </c>
      <c r="D67" s="961" t="s">
        <v>860</v>
      </c>
      <c r="E67" s="960" t="s">
        <v>800</v>
      </c>
      <c r="F67" s="964" t="s">
        <v>876</v>
      </c>
      <c r="G67" s="964" t="s">
        <v>877</v>
      </c>
      <c r="H67" s="961" t="s">
        <v>731</v>
      </c>
      <c r="I67" s="994" t="s">
        <v>802</v>
      </c>
      <c r="J67" s="996">
        <v>500</v>
      </c>
      <c r="K67" s="996">
        <v>152</v>
      </c>
      <c r="L67" s="996"/>
      <c r="M67" s="997">
        <f t="shared" si="6"/>
        <v>91200</v>
      </c>
      <c r="N67" s="997">
        <f t="shared" si="9"/>
        <v>91200</v>
      </c>
      <c r="O67" s="997">
        <f t="shared" si="7"/>
        <v>0</v>
      </c>
      <c r="P67" s="1094">
        <v>1</v>
      </c>
      <c r="Q67" s="997">
        <f t="shared" si="2"/>
        <v>91200</v>
      </c>
      <c r="R67" s="1170">
        <v>91200</v>
      </c>
      <c r="S67" s="1105" t="s">
        <v>1042</v>
      </c>
      <c r="T67" s="1102" t="s">
        <v>971</v>
      </c>
      <c r="U67" s="1091" t="s">
        <v>1046</v>
      </c>
      <c r="V67" s="979" t="s">
        <v>993</v>
      </c>
      <c r="W67" s="989"/>
      <c r="X67" s="989">
        <f t="shared" si="8"/>
        <v>91200</v>
      </c>
      <c r="Y67" s="989"/>
    </row>
    <row r="68" spans="1:25" ht="51" x14ac:dyDescent="0.25">
      <c r="A68" s="994">
        <v>62</v>
      </c>
      <c r="B68" s="959" t="s">
        <v>798</v>
      </c>
      <c r="C68" s="959" t="s">
        <v>864</v>
      </c>
      <c r="D68" s="961" t="s">
        <v>860</v>
      </c>
      <c r="E68" s="960" t="s">
        <v>800</v>
      </c>
      <c r="F68" s="964" t="s">
        <v>878</v>
      </c>
      <c r="G68" s="964"/>
      <c r="H68" s="961" t="s">
        <v>731</v>
      </c>
      <c r="I68" s="994" t="s">
        <v>802</v>
      </c>
      <c r="J68" s="996">
        <v>450</v>
      </c>
      <c r="K68" s="996">
        <v>232</v>
      </c>
      <c r="L68" s="996"/>
      <c r="M68" s="997">
        <f t="shared" si="6"/>
        <v>125280</v>
      </c>
      <c r="N68" s="997">
        <f t="shared" si="9"/>
        <v>125280</v>
      </c>
      <c r="O68" s="997">
        <f t="shared" si="7"/>
        <v>0</v>
      </c>
      <c r="P68" s="1094">
        <v>1</v>
      </c>
      <c r="Q68" s="997">
        <f t="shared" si="2"/>
        <v>125280</v>
      </c>
      <c r="R68" s="1170">
        <v>125280</v>
      </c>
      <c r="S68" s="1105" t="s">
        <v>1042</v>
      </c>
      <c r="T68" s="1102" t="s">
        <v>971</v>
      </c>
      <c r="U68" s="1091" t="s">
        <v>1044</v>
      </c>
      <c r="V68" s="979" t="s">
        <v>993</v>
      </c>
      <c r="W68" s="989"/>
      <c r="X68" s="989">
        <f t="shared" si="8"/>
        <v>125280</v>
      </c>
      <c r="Y68" s="989"/>
    </row>
    <row r="69" spans="1:25" ht="76.5" x14ac:dyDescent="0.25">
      <c r="A69" s="994">
        <v>63</v>
      </c>
      <c r="B69" s="959" t="s">
        <v>798</v>
      </c>
      <c r="C69" s="959" t="s">
        <v>864</v>
      </c>
      <c r="D69" s="961" t="s">
        <v>860</v>
      </c>
      <c r="E69" s="960" t="s">
        <v>800</v>
      </c>
      <c r="F69" s="964" t="s">
        <v>667</v>
      </c>
      <c r="G69" s="964"/>
      <c r="H69" s="961" t="s">
        <v>731</v>
      </c>
      <c r="I69" s="994" t="s">
        <v>802</v>
      </c>
      <c r="J69" s="996">
        <v>500</v>
      </c>
      <c r="K69" s="996">
        <v>40</v>
      </c>
      <c r="L69" s="996"/>
      <c r="M69" s="997">
        <f t="shared" si="6"/>
        <v>24000</v>
      </c>
      <c r="N69" s="997">
        <f t="shared" si="9"/>
        <v>24000</v>
      </c>
      <c r="O69" s="997">
        <f t="shared" si="7"/>
        <v>0</v>
      </c>
      <c r="P69" s="1094">
        <v>1</v>
      </c>
      <c r="Q69" s="997">
        <f t="shared" si="2"/>
        <v>24000</v>
      </c>
      <c r="R69" s="1170">
        <v>24000</v>
      </c>
      <c r="S69" s="1105" t="s">
        <v>1042</v>
      </c>
      <c r="T69" s="1102" t="s">
        <v>971</v>
      </c>
      <c r="U69" s="1091" t="s">
        <v>1045</v>
      </c>
      <c r="V69" s="979" t="s">
        <v>993</v>
      </c>
      <c r="W69" s="989"/>
      <c r="X69" s="989">
        <f t="shared" si="8"/>
        <v>24000</v>
      </c>
      <c r="Y69" s="989"/>
    </row>
    <row r="70" spans="1:25" ht="45" x14ac:dyDescent="0.25">
      <c r="A70" s="994">
        <v>64</v>
      </c>
      <c r="B70" s="959" t="s">
        <v>798</v>
      </c>
      <c r="C70" s="959" t="s">
        <v>864</v>
      </c>
      <c r="D70" s="961" t="s">
        <v>860</v>
      </c>
      <c r="E70" s="960" t="s">
        <v>800</v>
      </c>
      <c r="F70" s="964" t="s">
        <v>879</v>
      </c>
      <c r="G70" s="964"/>
      <c r="H70" s="961" t="s">
        <v>731</v>
      </c>
      <c r="I70" s="994" t="s">
        <v>802</v>
      </c>
      <c r="J70" s="996">
        <v>450</v>
      </c>
      <c r="K70" s="996">
        <v>24</v>
      </c>
      <c r="L70" s="996"/>
      <c r="M70" s="997">
        <f t="shared" si="6"/>
        <v>12960</v>
      </c>
      <c r="N70" s="997">
        <f t="shared" si="9"/>
        <v>12960</v>
      </c>
      <c r="O70" s="997">
        <f t="shared" si="7"/>
        <v>0</v>
      </c>
      <c r="P70" s="1094">
        <v>1</v>
      </c>
      <c r="Q70" s="997">
        <f t="shared" si="2"/>
        <v>12960</v>
      </c>
      <c r="R70" s="1170">
        <v>12960</v>
      </c>
      <c r="S70" s="1105" t="s">
        <v>1042</v>
      </c>
      <c r="T70" s="1102" t="s">
        <v>971</v>
      </c>
      <c r="U70" s="1091" t="s">
        <v>1057</v>
      </c>
      <c r="V70" s="979" t="s">
        <v>993</v>
      </c>
      <c r="W70" s="989"/>
      <c r="X70" s="989">
        <f t="shared" si="8"/>
        <v>12960</v>
      </c>
      <c r="Y70" s="989"/>
    </row>
    <row r="71" spans="1:25" ht="30" x14ac:dyDescent="0.25">
      <c r="A71" s="994">
        <v>65</v>
      </c>
      <c r="B71" s="959" t="s">
        <v>798</v>
      </c>
      <c r="C71" s="959" t="s">
        <v>861</v>
      </c>
      <c r="D71" s="961" t="s">
        <v>860</v>
      </c>
      <c r="E71" s="960" t="s">
        <v>800</v>
      </c>
      <c r="F71" s="961" t="s">
        <v>880</v>
      </c>
      <c r="G71" s="961" t="s">
        <v>639</v>
      </c>
      <c r="H71" s="961" t="s">
        <v>731</v>
      </c>
      <c r="I71" s="994" t="s">
        <v>802</v>
      </c>
      <c r="J71" s="996">
        <v>400</v>
      </c>
      <c r="K71" s="996">
        <v>3</v>
      </c>
      <c r="L71" s="996"/>
      <c r="M71" s="997">
        <f t="shared" si="6"/>
        <v>1440</v>
      </c>
      <c r="N71" s="997">
        <f t="shared" si="9"/>
        <v>1440</v>
      </c>
      <c r="O71" s="997">
        <f t="shared" si="7"/>
        <v>0</v>
      </c>
      <c r="P71" s="1094">
        <v>1</v>
      </c>
      <c r="Q71" s="997">
        <f t="shared" ref="Q71:Q137" si="10">P71*N71</f>
        <v>1440</v>
      </c>
      <c r="R71" s="1170">
        <v>1440</v>
      </c>
      <c r="S71" s="1105" t="s">
        <v>1042</v>
      </c>
      <c r="T71" s="1102" t="s">
        <v>971</v>
      </c>
      <c r="U71" s="1091" t="s">
        <v>1058</v>
      </c>
      <c r="V71" s="979" t="s">
        <v>993</v>
      </c>
      <c r="W71" s="989"/>
      <c r="X71" s="989">
        <f t="shared" si="8"/>
        <v>1440</v>
      </c>
      <c r="Y71" s="989"/>
    </row>
    <row r="72" spans="1:25" ht="30" x14ac:dyDescent="0.25">
      <c r="A72" s="994">
        <v>66</v>
      </c>
      <c r="B72" s="959" t="s">
        <v>798</v>
      </c>
      <c r="C72" s="959" t="s">
        <v>861</v>
      </c>
      <c r="D72" s="961" t="s">
        <v>860</v>
      </c>
      <c r="E72" s="960" t="s">
        <v>800</v>
      </c>
      <c r="F72" s="961" t="s">
        <v>881</v>
      </c>
      <c r="G72" s="961" t="s">
        <v>724</v>
      </c>
      <c r="H72" s="961" t="s">
        <v>731</v>
      </c>
      <c r="I72" s="994" t="s">
        <v>802</v>
      </c>
      <c r="J72" s="996">
        <v>400</v>
      </c>
      <c r="K72" s="996">
        <v>8</v>
      </c>
      <c r="L72" s="996"/>
      <c r="M72" s="997">
        <f t="shared" si="6"/>
        <v>3840</v>
      </c>
      <c r="N72" s="997">
        <f t="shared" si="9"/>
        <v>3840</v>
      </c>
      <c r="O72" s="997">
        <f t="shared" si="7"/>
        <v>0</v>
      </c>
      <c r="P72" s="1094">
        <v>1</v>
      </c>
      <c r="Q72" s="997">
        <f t="shared" si="10"/>
        <v>3840</v>
      </c>
      <c r="R72" s="1170">
        <v>3840</v>
      </c>
      <c r="S72" s="1105" t="s">
        <v>1042</v>
      </c>
      <c r="T72" s="1102" t="s">
        <v>971</v>
      </c>
      <c r="U72" s="1091" t="s">
        <v>1058</v>
      </c>
      <c r="V72" s="979" t="s">
        <v>993</v>
      </c>
      <c r="W72" s="989"/>
      <c r="X72" s="989">
        <f t="shared" si="8"/>
        <v>3840</v>
      </c>
      <c r="Y72" s="989"/>
    </row>
    <row r="73" spans="1:25" ht="45" x14ac:dyDescent="0.25">
      <c r="A73" s="994">
        <v>67</v>
      </c>
      <c r="B73" s="959" t="s">
        <v>798</v>
      </c>
      <c r="C73" s="959" t="s">
        <v>864</v>
      </c>
      <c r="D73" s="961" t="s">
        <v>860</v>
      </c>
      <c r="E73" s="960" t="s">
        <v>800</v>
      </c>
      <c r="F73" s="961" t="s">
        <v>882</v>
      </c>
      <c r="G73" s="961" t="s">
        <v>701</v>
      </c>
      <c r="H73" s="961" t="s">
        <v>731</v>
      </c>
      <c r="I73" s="994" t="s">
        <v>802</v>
      </c>
      <c r="J73" s="996">
        <v>400</v>
      </c>
      <c r="K73" s="996">
        <v>3</v>
      </c>
      <c r="L73" s="996"/>
      <c r="M73" s="997">
        <f t="shared" si="6"/>
        <v>1440</v>
      </c>
      <c r="N73" s="997">
        <f t="shared" si="9"/>
        <v>1440</v>
      </c>
      <c r="O73" s="997">
        <f t="shared" si="7"/>
        <v>0</v>
      </c>
      <c r="P73" s="1094">
        <v>1</v>
      </c>
      <c r="Q73" s="997">
        <f t="shared" si="10"/>
        <v>1440</v>
      </c>
      <c r="R73" s="1170">
        <v>1440</v>
      </c>
      <c r="S73" s="1105" t="s">
        <v>1042</v>
      </c>
      <c r="T73" s="1102" t="s">
        <v>971</v>
      </c>
      <c r="U73" s="1091" t="s">
        <v>1058</v>
      </c>
      <c r="V73" s="979" t="s">
        <v>993</v>
      </c>
      <c r="W73" s="989"/>
      <c r="X73" s="989">
        <f t="shared" si="8"/>
        <v>1440</v>
      </c>
      <c r="Y73" s="989"/>
    </row>
    <row r="74" spans="1:25" ht="45" x14ac:dyDescent="0.25">
      <c r="A74" s="994">
        <v>68</v>
      </c>
      <c r="B74" s="959" t="s">
        <v>798</v>
      </c>
      <c r="C74" s="959" t="s">
        <v>866</v>
      </c>
      <c r="D74" s="961" t="s">
        <v>860</v>
      </c>
      <c r="E74" s="960" t="s">
        <v>800</v>
      </c>
      <c r="F74" s="961" t="s">
        <v>883</v>
      </c>
      <c r="G74" s="961" t="s">
        <v>642</v>
      </c>
      <c r="H74" s="961" t="s">
        <v>731</v>
      </c>
      <c r="I74" s="994" t="s">
        <v>802</v>
      </c>
      <c r="J74" s="996">
        <v>400</v>
      </c>
      <c r="K74" s="996">
        <v>1</v>
      </c>
      <c r="L74" s="996"/>
      <c r="M74" s="997">
        <f t="shared" si="6"/>
        <v>480</v>
      </c>
      <c r="N74" s="997">
        <f t="shared" si="9"/>
        <v>480</v>
      </c>
      <c r="O74" s="997">
        <f t="shared" si="7"/>
        <v>0</v>
      </c>
      <c r="P74" s="1094">
        <v>1</v>
      </c>
      <c r="Q74" s="997">
        <f t="shared" si="10"/>
        <v>480</v>
      </c>
      <c r="R74" s="1170">
        <v>480</v>
      </c>
      <c r="S74" s="1105" t="s">
        <v>1042</v>
      </c>
      <c r="T74" s="1102" t="s">
        <v>971</v>
      </c>
      <c r="U74" s="1091" t="s">
        <v>1058</v>
      </c>
      <c r="V74" s="979" t="s">
        <v>993</v>
      </c>
      <c r="W74" s="989"/>
      <c r="X74" s="989">
        <f t="shared" si="8"/>
        <v>480</v>
      </c>
      <c r="Y74" s="989"/>
    </row>
    <row r="75" spans="1:25" ht="30" x14ac:dyDescent="0.25">
      <c r="A75" s="994">
        <v>69</v>
      </c>
      <c r="B75" s="959" t="s">
        <v>798</v>
      </c>
      <c r="C75" s="959" t="s">
        <v>861</v>
      </c>
      <c r="D75" s="961" t="s">
        <v>860</v>
      </c>
      <c r="E75" s="960" t="s">
        <v>800</v>
      </c>
      <c r="F75" s="961" t="s">
        <v>884</v>
      </c>
      <c r="G75" s="961" t="s">
        <v>643</v>
      </c>
      <c r="H75" s="961" t="s">
        <v>731</v>
      </c>
      <c r="I75" s="994" t="s">
        <v>802</v>
      </c>
      <c r="J75" s="996">
        <v>400</v>
      </c>
      <c r="K75" s="996">
        <v>1</v>
      </c>
      <c r="L75" s="996"/>
      <c r="M75" s="997">
        <f t="shared" si="6"/>
        <v>480</v>
      </c>
      <c r="N75" s="997">
        <f t="shared" si="9"/>
        <v>480</v>
      </c>
      <c r="O75" s="997">
        <f t="shared" si="7"/>
        <v>0</v>
      </c>
      <c r="P75" s="1094">
        <v>1</v>
      </c>
      <c r="Q75" s="997">
        <f t="shared" si="10"/>
        <v>480</v>
      </c>
      <c r="R75" s="1170">
        <v>480</v>
      </c>
      <c r="S75" s="1105" t="s">
        <v>1042</v>
      </c>
      <c r="T75" s="1102" t="s">
        <v>971</v>
      </c>
      <c r="U75" s="1091" t="s">
        <v>1058</v>
      </c>
      <c r="V75" s="979" t="s">
        <v>993</v>
      </c>
      <c r="W75" s="989"/>
      <c r="X75" s="989">
        <f t="shared" si="8"/>
        <v>480</v>
      </c>
      <c r="Y75" s="989"/>
    </row>
    <row r="76" spans="1:25" ht="30" x14ac:dyDescent="0.25">
      <c r="A76" s="994">
        <v>70</v>
      </c>
      <c r="B76" s="959" t="s">
        <v>798</v>
      </c>
      <c r="C76" s="959" t="s">
        <v>866</v>
      </c>
      <c r="D76" s="961" t="s">
        <v>860</v>
      </c>
      <c r="E76" s="960" t="s">
        <v>800</v>
      </c>
      <c r="F76" s="961" t="s">
        <v>885</v>
      </c>
      <c r="G76" s="961" t="s">
        <v>644</v>
      </c>
      <c r="H76" s="961" t="s">
        <v>731</v>
      </c>
      <c r="I76" s="994" t="s">
        <v>802</v>
      </c>
      <c r="J76" s="996">
        <v>400</v>
      </c>
      <c r="K76" s="996">
        <v>2</v>
      </c>
      <c r="L76" s="996"/>
      <c r="M76" s="997">
        <f t="shared" si="6"/>
        <v>960</v>
      </c>
      <c r="N76" s="997">
        <f t="shared" si="9"/>
        <v>960</v>
      </c>
      <c r="O76" s="997">
        <f t="shared" si="7"/>
        <v>0</v>
      </c>
      <c r="P76" s="1094">
        <v>1</v>
      </c>
      <c r="Q76" s="997">
        <f t="shared" si="10"/>
        <v>960</v>
      </c>
      <c r="R76" s="1170">
        <v>960</v>
      </c>
      <c r="S76" s="1105" t="s">
        <v>1042</v>
      </c>
      <c r="T76" s="1102" t="s">
        <v>971</v>
      </c>
      <c r="U76" s="1091" t="s">
        <v>1058</v>
      </c>
      <c r="V76" s="979" t="s">
        <v>993</v>
      </c>
      <c r="W76" s="989"/>
      <c r="X76" s="989">
        <f t="shared" si="8"/>
        <v>960</v>
      </c>
      <c r="Y76" s="989"/>
    </row>
    <row r="77" spans="1:25" ht="30" x14ac:dyDescent="0.25">
      <c r="A77" s="994">
        <v>71</v>
      </c>
      <c r="B77" s="959" t="s">
        <v>798</v>
      </c>
      <c r="C77" s="959" t="s">
        <v>866</v>
      </c>
      <c r="D77" s="961" t="s">
        <v>860</v>
      </c>
      <c r="E77" s="960" t="s">
        <v>800</v>
      </c>
      <c r="F77" s="961" t="s">
        <v>886</v>
      </c>
      <c r="G77" s="961" t="s">
        <v>645</v>
      </c>
      <c r="H77" s="961" t="s">
        <v>731</v>
      </c>
      <c r="I77" s="994" t="s">
        <v>802</v>
      </c>
      <c r="J77" s="996">
        <v>400</v>
      </c>
      <c r="K77" s="996">
        <v>1</v>
      </c>
      <c r="L77" s="996"/>
      <c r="M77" s="997">
        <f t="shared" si="6"/>
        <v>480</v>
      </c>
      <c r="N77" s="997">
        <f t="shared" si="9"/>
        <v>480</v>
      </c>
      <c r="O77" s="997">
        <f t="shared" si="7"/>
        <v>0</v>
      </c>
      <c r="P77" s="1094">
        <v>1</v>
      </c>
      <c r="Q77" s="997">
        <f t="shared" si="10"/>
        <v>480</v>
      </c>
      <c r="R77" s="1170">
        <v>480</v>
      </c>
      <c r="S77" s="1105" t="s">
        <v>1042</v>
      </c>
      <c r="T77" s="1102" t="s">
        <v>971</v>
      </c>
      <c r="U77" s="1091" t="s">
        <v>1058</v>
      </c>
      <c r="V77" s="979" t="s">
        <v>993</v>
      </c>
      <c r="W77" s="989"/>
      <c r="X77" s="989">
        <f t="shared" si="8"/>
        <v>480</v>
      </c>
      <c r="Y77" s="989"/>
    </row>
    <row r="78" spans="1:25" ht="45" x14ac:dyDescent="0.25">
      <c r="A78" s="994">
        <v>72</v>
      </c>
      <c r="B78" s="959" t="s">
        <v>798</v>
      </c>
      <c r="C78" s="959" t="s">
        <v>864</v>
      </c>
      <c r="D78" s="961" t="s">
        <v>860</v>
      </c>
      <c r="E78" s="960" t="s">
        <v>800</v>
      </c>
      <c r="F78" s="961" t="s">
        <v>887</v>
      </c>
      <c r="G78" s="961" t="s">
        <v>646</v>
      </c>
      <c r="H78" s="961" t="s">
        <v>731</v>
      </c>
      <c r="I78" s="994" t="s">
        <v>802</v>
      </c>
      <c r="J78" s="996">
        <v>400</v>
      </c>
      <c r="K78" s="996">
        <v>1</v>
      </c>
      <c r="L78" s="996"/>
      <c r="M78" s="997">
        <f t="shared" si="6"/>
        <v>480</v>
      </c>
      <c r="N78" s="997">
        <f t="shared" si="9"/>
        <v>480</v>
      </c>
      <c r="O78" s="997">
        <f t="shared" si="7"/>
        <v>0</v>
      </c>
      <c r="P78" s="1094">
        <v>1</v>
      </c>
      <c r="Q78" s="997">
        <f t="shared" si="10"/>
        <v>480</v>
      </c>
      <c r="R78" s="1170">
        <v>480</v>
      </c>
      <c r="S78" s="1105" t="s">
        <v>1042</v>
      </c>
      <c r="T78" s="1102" t="s">
        <v>971</v>
      </c>
      <c r="U78" s="1091" t="s">
        <v>1058</v>
      </c>
      <c r="V78" s="979" t="s">
        <v>993</v>
      </c>
      <c r="W78" s="989"/>
      <c r="X78" s="989">
        <f t="shared" si="8"/>
        <v>480</v>
      </c>
      <c r="Y78" s="989"/>
    </row>
    <row r="79" spans="1:25" ht="45" x14ac:dyDescent="0.25">
      <c r="A79" s="994">
        <v>73</v>
      </c>
      <c r="B79" s="959" t="s">
        <v>798</v>
      </c>
      <c r="C79" s="959" t="s">
        <v>864</v>
      </c>
      <c r="D79" s="961" t="s">
        <v>860</v>
      </c>
      <c r="E79" s="960" t="s">
        <v>800</v>
      </c>
      <c r="F79" s="961" t="s">
        <v>888</v>
      </c>
      <c r="G79" s="961" t="s">
        <v>813</v>
      </c>
      <c r="H79" s="961" t="s">
        <v>813</v>
      </c>
      <c r="I79" s="994" t="s">
        <v>802</v>
      </c>
      <c r="J79" s="996">
        <v>400</v>
      </c>
      <c r="K79" s="996">
        <v>8</v>
      </c>
      <c r="L79" s="996"/>
      <c r="M79" s="997">
        <f t="shared" si="6"/>
        <v>3840</v>
      </c>
      <c r="N79" s="997">
        <f t="shared" si="9"/>
        <v>3840</v>
      </c>
      <c r="O79" s="997">
        <f t="shared" si="7"/>
        <v>0</v>
      </c>
      <c r="P79" s="1094">
        <v>1</v>
      </c>
      <c r="Q79" s="997">
        <f t="shared" si="10"/>
        <v>3840</v>
      </c>
      <c r="R79" s="1170">
        <v>3840</v>
      </c>
      <c r="S79" s="1105" t="s">
        <v>1042</v>
      </c>
      <c r="T79" s="1102" t="s">
        <v>971</v>
      </c>
      <c r="U79" s="1091" t="s">
        <v>1058</v>
      </c>
      <c r="V79" s="979" t="s">
        <v>993</v>
      </c>
      <c r="W79" s="989"/>
      <c r="X79" s="989">
        <f t="shared" si="8"/>
        <v>3840</v>
      </c>
      <c r="Y79" s="989"/>
    </row>
    <row r="80" spans="1:25" ht="30" x14ac:dyDescent="0.25">
      <c r="A80" s="994">
        <v>74</v>
      </c>
      <c r="B80" s="959" t="s">
        <v>798</v>
      </c>
      <c r="C80" s="959" t="s">
        <v>864</v>
      </c>
      <c r="D80" s="961" t="s">
        <v>860</v>
      </c>
      <c r="E80" s="960" t="s">
        <v>800</v>
      </c>
      <c r="F80" s="961" t="s">
        <v>889</v>
      </c>
      <c r="G80" s="961" t="s">
        <v>323</v>
      </c>
      <c r="H80" s="961" t="s">
        <v>323</v>
      </c>
      <c r="I80" s="994" t="s">
        <v>802</v>
      </c>
      <c r="J80" s="996">
        <v>400</v>
      </c>
      <c r="K80" s="996">
        <v>2</v>
      </c>
      <c r="L80" s="996"/>
      <c r="M80" s="997">
        <f t="shared" si="6"/>
        <v>960</v>
      </c>
      <c r="N80" s="997">
        <f t="shared" si="9"/>
        <v>960</v>
      </c>
      <c r="O80" s="997">
        <f t="shared" si="7"/>
        <v>0</v>
      </c>
      <c r="P80" s="1094">
        <v>1</v>
      </c>
      <c r="Q80" s="997">
        <f t="shared" si="10"/>
        <v>960</v>
      </c>
      <c r="R80" s="1170">
        <v>960</v>
      </c>
      <c r="S80" s="1105" t="s">
        <v>1042</v>
      </c>
      <c r="T80" s="1102" t="s">
        <v>971</v>
      </c>
      <c r="U80" s="1091" t="s">
        <v>1058</v>
      </c>
      <c r="V80" s="979" t="s">
        <v>993</v>
      </c>
      <c r="W80" s="989"/>
      <c r="X80" s="989">
        <f t="shared" si="8"/>
        <v>960</v>
      </c>
      <c r="Y80" s="989"/>
    </row>
    <row r="81" spans="1:25" ht="30" x14ac:dyDescent="0.25">
      <c r="A81" s="994">
        <v>75</v>
      </c>
      <c r="B81" s="959" t="s">
        <v>798</v>
      </c>
      <c r="C81" s="959" t="s">
        <v>864</v>
      </c>
      <c r="D81" s="961" t="s">
        <v>860</v>
      </c>
      <c r="E81" s="960" t="s">
        <v>800</v>
      </c>
      <c r="F81" s="961" t="s">
        <v>890</v>
      </c>
      <c r="G81" s="961" t="s">
        <v>816</v>
      </c>
      <c r="H81" s="961" t="s">
        <v>816</v>
      </c>
      <c r="I81" s="994" t="s">
        <v>802</v>
      </c>
      <c r="J81" s="996">
        <v>400</v>
      </c>
      <c r="K81" s="996">
        <v>2</v>
      </c>
      <c r="L81" s="996"/>
      <c r="M81" s="997">
        <f t="shared" si="6"/>
        <v>960</v>
      </c>
      <c r="N81" s="997">
        <f t="shared" si="9"/>
        <v>960</v>
      </c>
      <c r="O81" s="997">
        <f t="shared" si="7"/>
        <v>0</v>
      </c>
      <c r="P81" s="1094">
        <v>1</v>
      </c>
      <c r="Q81" s="997">
        <f t="shared" si="10"/>
        <v>960</v>
      </c>
      <c r="R81" s="1170">
        <v>960</v>
      </c>
      <c r="S81" s="1105" t="s">
        <v>1042</v>
      </c>
      <c r="T81" s="1102" t="s">
        <v>971</v>
      </c>
      <c r="U81" s="1091" t="s">
        <v>1058</v>
      </c>
      <c r="V81" s="979" t="s">
        <v>993</v>
      </c>
      <c r="W81" s="989"/>
      <c r="X81" s="989">
        <f t="shared" si="8"/>
        <v>960</v>
      </c>
      <c r="Y81" s="989"/>
    </row>
    <row r="82" spans="1:25" ht="45" x14ac:dyDescent="0.25">
      <c r="A82" s="994">
        <v>76</v>
      </c>
      <c r="B82" s="959" t="s">
        <v>798</v>
      </c>
      <c r="C82" s="959" t="s">
        <v>861</v>
      </c>
      <c r="D82" s="961" t="s">
        <v>860</v>
      </c>
      <c r="E82" s="960" t="s">
        <v>800</v>
      </c>
      <c r="F82" s="961" t="s">
        <v>891</v>
      </c>
      <c r="G82" s="961" t="s">
        <v>818</v>
      </c>
      <c r="H82" s="961" t="s">
        <v>731</v>
      </c>
      <c r="I82" s="1097" t="s">
        <v>802</v>
      </c>
      <c r="J82" s="1098">
        <v>400</v>
      </c>
      <c r="K82" s="1098">
        <v>8</v>
      </c>
      <c r="L82" s="996"/>
      <c r="M82" s="1095">
        <f t="shared" si="6"/>
        <v>3840</v>
      </c>
      <c r="N82" s="1095">
        <f t="shared" si="9"/>
        <v>3840</v>
      </c>
      <c r="O82" s="1095">
        <f t="shared" si="7"/>
        <v>0</v>
      </c>
      <c r="P82" s="1099">
        <v>1</v>
      </c>
      <c r="Q82" s="1095">
        <f t="shared" si="10"/>
        <v>3840</v>
      </c>
      <c r="R82" s="1170">
        <v>3840</v>
      </c>
      <c r="S82" s="1105" t="s">
        <v>1042</v>
      </c>
      <c r="T82" s="1103" t="s">
        <v>971</v>
      </c>
      <c r="U82" s="1092" t="s">
        <v>1058</v>
      </c>
      <c r="V82" s="979" t="s">
        <v>993</v>
      </c>
      <c r="W82" s="989"/>
      <c r="X82" s="989">
        <f t="shared" si="8"/>
        <v>3840</v>
      </c>
      <c r="Y82" s="989"/>
    </row>
    <row r="83" spans="1:25" ht="306" x14ac:dyDescent="0.25">
      <c r="A83" s="958">
        <v>77</v>
      </c>
      <c r="B83" s="959" t="s">
        <v>798</v>
      </c>
      <c r="C83" s="959" t="s">
        <v>977</v>
      </c>
      <c r="D83" s="961" t="s">
        <v>860</v>
      </c>
      <c r="E83" s="960" t="s">
        <v>928</v>
      </c>
      <c r="F83" s="961" t="s">
        <v>953</v>
      </c>
      <c r="G83" s="961"/>
      <c r="H83" s="961" t="s">
        <v>731</v>
      </c>
      <c r="I83" s="1097" t="s">
        <v>954</v>
      </c>
      <c r="J83" s="1158">
        <f>24.29</f>
        <v>24.29</v>
      </c>
      <c r="K83" s="1098">
        <f>160*6</f>
        <v>960</v>
      </c>
      <c r="L83" s="996"/>
      <c r="M83" s="1095">
        <f t="shared" ref="M83:M89" si="11">ROUND(J83*K83*1,2)</f>
        <v>23318.400000000001</v>
      </c>
      <c r="N83" s="1095">
        <f t="shared" si="9"/>
        <v>23318.400000000001</v>
      </c>
      <c r="O83" s="1095">
        <f t="shared" si="7"/>
        <v>0</v>
      </c>
      <c r="P83" s="1099">
        <v>1</v>
      </c>
      <c r="Q83" s="1095">
        <f t="shared" si="10"/>
        <v>23318.400000000001</v>
      </c>
      <c r="R83" s="1170">
        <v>19613.43</v>
      </c>
      <c r="S83" s="1105"/>
      <c r="T83" s="1103" t="s">
        <v>955</v>
      </c>
      <c r="U83" s="1092" t="s">
        <v>1059</v>
      </c>
      <c r="V83" s="979" t="s">
        <v>993</v>
      </c>
      <c r="W83" s="989"/>
      <c r="X83" s="989">
        <f t="shared" si="8"/>
        <v>19613.43</v>
      </c>
      <c r="Y83" s="989"/>
    </row>
    <row r="84" spans="1:25" ht="89.25" x14ac:dyDescent="0.25">
      <c r="A84" s="958">
        <v>78</v>
      </c>
      <c r="B84" s="959" t="s">
        <v>798</v>
      </c>
      <c r="C84" s="959" t="s">
        <v>977</v>
      </c>
      <c r="D84" s="961" t="s">
        <v>860</v>
      </c>
      <c r="E84" s="960" t="s">
        <v>928</v>
      </c>
      <c r="F84" s="961" t="s">
        <v>957</v>
      </c>
      <c r="G84" s="961"/>
      <c r="H84" s="961" t="s">
        <v>731</v>
      </c>
      <c r="I84" s="1097" t="s">
        <v>954</v>
      </c>
      <c r="J84" s="1158">
        <f>24.29</f>
        <v>24.29</v>
      </c>
      <c r="K84" s="1098">
        <f>ROUND(28.8*6*12,)</f>
        <v>2074</v>
      </c>
      <c r="L84" s="996"/>
      <c r="M84" s="1095">
        <f t="shared" si="11"/>
        <v>50377.46</v>
      </c>
      <c r="N84" s="1095">
        <f t="shared" si="9"/>
        <v>50377.46</v>
      </c>
      <c r="O84" s="1095">
        <f t="shared" si="7"/>
        <v>0</v>
      </c>
      <c r="P84" s="1099">
        <v>1</v>
      </c>
      <c r="Q84" s="1095">
        <f t="shared" si="10"/>
        <v>50377.46</v>
      </c>
      <c r="R84" s="1170">
        <v>35222.51</v>
      </c>
      <c r="S84" s="1105"/>
      <c r="T84" s="1103" t="s">
        <v>955</v>
      </c>
      <c r="U84" s="1092" t="s">
        <v>1060</v>
      </c>
      <c r="V84" s="979" t="s">
        <v>993</v>
      </c>
      <c r="W84" s="989"/>
      <c r="X84" s="989">
        <f t="shared" si="8"/>
        <v>35222.51</v>
      </c>
      <c r="Y84" s="989"/>
    </row>
    <row r="85" spans="1:25" ht="140.25" x14ac:dyDescent="0.25">
      <c r="A85" s="958">
        <v>79</v>
      </c>
      <c r="B85" s="959" t="s">
        <v>798</v>
      </c>
      <c r="C85" s="959" t="s">
        <v>977</v>
      </c>
      <c r="D85" s="961" t="s">
        <v>860</v>
      </c>
      <c r="E85" s="960" t="s">
        <v>928</v>
      </c>
      <c r="F85" s="961" t="s">
        <v>958</v>
      </c>
      <c r="G85" s="961"/>
      <c r="H85" s="961" t="s">
        <v>731</v>
      </c>
      <c r="I85" s="1097" t="s">
        <v>954</v>
      </c>
      <c r="J85" s="1158">
        <f>40.48</f>
        <v>40.479999999999997</v>
      </c>
      <c r="K85" s="1098">
        <f>ROUND(29.2*6,)</f>
        <v>175</v>
      </c>
      <c r="L85" s="996"/>
      <c r="M85" s="1095">
        <f t="shared" si="11"/>
        <v>7084</v>
      </c>
      <c r="N85" s="1095">
        <f t="shared" si="9"/>
        <v>7084</v>
      </c>
      <c r="O85" s="1095">
        <f t="shared" si="7"/>
        <v>0</v>
      </c>
      <c r="P85" s="1099">
        <v>1</v>
      </c>
      <c r="Q85" s="1095">
        <f t="shared" si="10"/>
        <v>7084</v>
      </c>
      <c r="R85" s="1170">
        <v>6914.71</v>
      </c>
      <c r="S85" s="1105"/>
      <c r="T85" s="1103" t="s">
        <v>955</v>
      </c>
      <c r="U85" s="1092" t="s">
        <v>1061</v>
      </c>
      <c r="V85" s="979" t="s">
        <v>993</v>
      </c>
      <c r="W85" s="989"/>
      <c r="X85" s="989">
        <f t="shared" si="8"/>
        <v>6914.71</v>
      </c>
      <c r="Y85" s="989"/>
    </row>
    <row r="86" spans="1:25" ht="89.25" x14ac:dyDescent="0.25">
      <c r="A86" s="958">
        <v>80</v>
      </c>
      <c r="B86" s="959" t="s">
        <v>798</v>
      </c>
      <c r="C86" s="959" t="s">
        <v>977</v>
      </c>
      <c r="D86" s="961" t="s">
        <v>860</v>
      </c>
      <c r="E86" s="960" t="s">
        <v>928</v>
      </c>
      <c r="F86" s="961" t="s">
        <v>960</v>
      </c>
      <c r="G86" s="961"/>
      <c r="H86" s="961" t="s">
        <v>731</v>
      </c>
      <c r="I86" s="1097" t="s">
        <v>954</v>
      </c>
      <c r="J86" s="1158">
        <f>24.29</f>
        <v>24.29</v>
      </c>
      <c r="K86" s="1098">
        <f>ROUND(6*28.8*24,)</f>
        <v>4147</v>
      </c>
      <c r="L86" s="996"/>
      <c r="M86" s="1098">
        <f t="shared" si="11"/>
        <v>100730.63</v>
      </c>
      <c r="N86" s="1098">
        <f t="shared" si="9"/>
        <v>100730.63</v>
      </c>
      <c r="O86" s="1098">
        <f t="shared" si="7"/>
        <v>0</v>
      </c>
      <c r="P86" s="1099">
        <v>1</v>
      </c>
      <c r="Q86" s="1095">
        <f t="shared" si="10"/>
        <v>100730.63</v>
      </c>
      <c r="R86" s="1170">
        <v>47097.21</v>
      </c>
      <c r="S86" s="1164"/>
      <c r="T86" s="1103" t="s">
        <v>955</v>
      </c>
      <c r="U86" s="1092" t="s">
        <v>1062</v>
      </c>
      <c r="V86" s="979" t="s">
        <v>993</v>
      </c>
      <c r="W86" s="989"/>
      <c r="X86" s="989">
        <f t="shared" si="8"/>
        <v>47097.21</v>
      </c>
      <c r="Y86" s="989"/>
    </row>
    <row r="87" spans="1:25" ht="89.25" x14ac:dyDescent="0.25">
      <c r="A87" s="958">
        <v>81</v>
      </c>
      <c r="B87" s="959" t="s">
        <v>798</v>
      </c>
      <c r="C87" s="959" t="s">
        <v>977</v>
      </c>
      <c r="D87" s="961" t="s">
        <v>860</v>
      </c>
      <c r="E87" s="960" t="s">
        <v>928</v>
      </c>
      <c r="F87" s="961" t="s">
        <v>961</v>
      </c>
      <c r="G87" s="961"/>
      <c r="H87" s="961" t="s">
        <v>731</v>
      </c>
      <c r="I87" s="1097" t="s">
        <v>954</v>
      </c>
      <c r="J87" s="1158">
        <f>24.29</f>
        <v>24.29</v>
      </c>
      <c r="K87" s="1098">
        <f>ROUND(6*48,)</f>
        <v>288</v>
      </c>
      <c r="L87" s="996"/>
      <c r="M87" s="1098">
        <f t="shared" si="11"/>
        <v>6995.52</v>
      </c>
      <c r="N87" s="1098">
        <f t="shared" si="9"/>
        <v>6995.52</v>
      </c>
      <c r="O87" s="1098">
        <f t="shared" si="7"/>
        <v>0</v>
      </c>
      <c r="P87" s="1099">
        <v>1</v>
      </c>
      <c r="Q87" s="1095">
        <f t="shared" si="10"/>
        <v>6995.52</v>
      </c>
      <c r="R87" s="1170">
        <v>3843.23</v>
      </c>
      <c r="S87" s="1105"/>
      <c r="T87" s="1103" t="s">
        <v>955</v>
      </c>
      <c r="U87" s="1092" t="s">
        <v>1063</v>
      </c>
      <c r="V87" s="979" t="s">
        <v>993</v>
      </c>
      <c r="W87" s="989"/>
      <c r="X87" s="989">
        <f t="shared" si="8"/>
        <v>3843.23</v>
      </c>
      <c r="Y87" s="989"/>
    </row>
    <row r="88" spans="1:25" ht="89.25" x14ac:dyDescent="0.25">
      <c r="A88" s="958">
        <v>82</v>
      </c>
      <c r="B88" s="959" t="s">
        <v>798</v>
      </c>
      <c r="C88" s="959" t="s">
        <v>977</v>
      </c>
      <c r="D88" s="961" t="s">
        <v>860</v>
      </c>
      <c r="E88" s="960" t="s">
        <v>928</v>
      </c>
      <c r="F88" s="961" t="s">
        <v>963</v>
      </c>
      <c r="G88" s="961"/>
      <c r="H88" s="961" t="s">
        <v>731</v>
      </c>
      <c r="I88" s="1097" t="s">
        <v>954</v>
      </c>
      <c r="J88" s="1158">
        <f>24.29</f>
        <v>24.29</v>
      </c>
      <c r="K88" s="1098">
        <f>6*48</f>
        <v>288</v>
      </c>
      <c r="L88" s="996"/>
      <c r="M88" s="1095">
        <f t="shared" si="11"/>
        <v>6995.52</v>
      </c>
      <c r="N88" s="1095">
        <f t="shared" si="9"/>
        <v>6995.52</v>
      </c>
      <c r="O88" s="1095">
        <f t="shared" si="7"/>
        <v>0</v>
      </c>
      <c r="P88" s="1099">
        <v>1</v>
      </c>
      <c r="Q88" s="1095">
        <f t="shared" si="10"/>
        <v>6995.52</v>
      </c>
      <c r="R88" s="1170">
        <v>5897.83</v>
      </c>
      <c r="S88" s="1105"/>
      <c r="T88" s="1103" t="s">
        <v>955</v>
      </c>
      <c r="U88" s="1092" t="s">
        <v>1064</v>
      </c>
      <c r="V88" s="979" t="s">
        <v>993</v>
      </c>
      <c r="W88" s="989"/>
      <c r="X88" s="989">
        <f t="shared" si="8"/>
        <v>5897.83</v>
      </c>
      <c r="Y88" s="989"/>
    </row>
    <row r="89" spans="1:25" ht="140.25" x14ac:dyDescent="0.25">
      <c r="A89" s="958">
        <v>83</v>
      </c>
      <c r="B89" s="959" t="s">
        <v>798</v>
      </c>
      <c r="C89" s="959" t="s">
        <v>977</v>
      </c>
      <c r="D89" s="961" t="s">
        <v>860</v>
      </c>
      <c r="E89" s="960" t="s">
        <v>928</v>
      </c>
      <c r="F89" s="961" t="s">
        <v>975</v>
      </c>
      <c r="G89" s="961"/>
      <c r="H89" s="961" t="s">
        <v>731</v>
      </c>
      <c r="I89" s="1097" t="s">
        <v>954</v>
      </c>
      <c r="J89" s="1158">
        <f>40.48</f>
        <v>40.479999999999997</v>
      </c>
      <c r="K89" s="1098">
        <f>ROUND(29.2*6,)</f>
        <v>175</v>
      </c>
      <c r="L89" s="996"/>
      <c r="M89" s="1095">
        <f t="shared" si="11"/>
        <v>7084</v>
      </c>
      <c r="N89" s="1095">
        <f t="shared" si="9"/>
        <v>7084</v>
      </c>
      <c r="O89" s="1095">
        <f>M89-N89</f>
        <v>0</v>
      </c>
      <c r="P89" s="1099">
        <v>1</v>
      </c>
      <c r="Q89" s="1095">
        <f t="shared" si="10"/>
        <v>7084</v>
      </c>
      <c r="R89" s="1170">
        <v>8803.61</v>
      </c>
      <c r="S89" s="1105"/>
      <c r="T89" s="1103" t="s">
        <v>955</v>
      </c>
      <c r="U89" s="1092" t="s">
        <v>1065</v>
      </c>
      <c r="V89" s="979" t="s">
        <v>993</v>
      </c>
      <c r="W89" s="989"/>
      <c r="X89" s="989">
        <f t="shared" si="8"/>
        <v>8803.61</v>
      </c>
      <c r="Y89" s="989"/>
    </row>
    <row r="90" spans="1:25" x14ac:dyDescent="0.25">
      <c r="A90" s="977" t="s">
        <v>319</v>
      </c>
      <c r="B90" s="980"/>
      <c r="C90" s="980"/>
      <c r="D90" s="978"/>
      <c r="E90" s="980"/>
      <c r="F90" s="980"/>
      <c r="G90" s="980"/>
      <c r="H90" s="980"/>
      <c r="I90" s="980"/>
      <c r="J90" s="1159"/>
      <c r="K90" s="980"/>
      <c r="L90" s="980"/>
      <c r="M90" s="1160"/>
      <c r="N90" s="1160"/>
      <c r="O90" s="1160"/>
      <c r="P90" s="1161"/>
      <c r="Q90" s="1160"/>
      <c r="R90" s="1170"/>
      <c r="S90" s="1162"/>
      <c r="T90" s="1163"/>
      <c r="U90" s="978"/>
      <c r="V90" s="980"/>
      <c r="W90" s="990"/>
      <c r="X90" s="990"/>
      <c r="Y90" s="990"/>
    </row>
    <row r="91" spans="1:25" ht="30" x14ac:dyDescent="0.25">
      <c r="A91" s="994">
        <v>84</v>
      </c>
      <c r="B91" s="959" t="s">
        <v>798</v>
      </c>
      <c r="C91" s="959" t="s">
        <v>892</v>
      </c>
      <c r="D91" s="961" t="s">
        <v>319</v>
      </c>
      <c r="E91" s="960" t="s">
        <v>800</v>
      </c>
      <c r="F91" s="961" t="s">
        <v>893</v>
      </c>
      <c r="G91" s="961" t="s">
        <v>639</v>
      </c>
      <c r="H91" s="961" t="s">
        <v>731</v>
      </c>
      <c r="I91" s="1093" t="s">
        <v>802</v>
      </c>
      <c r="J91" s="996">
        <v>400</v>
      </c>
      <c r="K91" s="996">
        <v>56</v>
      </c>
      <c r="L91" s="996"/>
      <c r="M91" s="997">
        <f t="shared" ref="M91:M103" si="12">ROUND(J91*K91*1.2,)</f>
        <v>26880</v>
      </c>
      <c r="N91" s="997">
        <f>M91</f>
        <v>26880</v>
      </c>
      <c r="O91" s="997">
        <f t="shared" ref="O91:O144" si="13">M91-N91</f>
        <v>0</v>
      </c>
      <c r="P91" s="1094">
        <v>1</v>
      </c>
      <c r="Q91" s="997">
        <f t="shared" si="10"/>
        <v>26880</v>
      </c>
      <c r="R91" s="1170">
        <v>26880</v>
      </c>
      <c r="S91" s="1105" t="s">
        <v>1042</v>
      </c>
      <c r="T91" s="1102" t="s">
        <v>971</v>
      </c>
      <c r="U91" s="1091" t="s">
        <v>1066</v>
      </c>
      <c r="V91" s="979" t="s">
        <v>993</v>
      </c>
      <c r="W91" s="989"/>
      <c r="X91" s="989">
        <f t="shared" ref="X91:X110" si="14">R91</f>
        <v>26880</v>
      </c>
      <c r="Y91" s="989"/>
    </row>
    <row r="92" spans="1:25" ht="30" x14ac:dyDescent="0.25">
      <c r="A92" s="994">
        <v>85</v>
      </c>
      <c r="B92" s="959" t="s">
        <v>798</v>
      </c>
      <c r="C92" s="959" t="s">
        <v>892</v>
      </c>
      <c r="D92" s="961" t="s">
        <v>319</v>
      </c>
      <c r="E92" s="960" t="s">
        <v>800</v>
      </c>
      <c r="F92" s="961" t="s">
        <v>894</v>
      </c>
      <c r="G92" s="961" t="s">
        <v>724</v>
      </c>
      <c r="H92" s="961" t="s">
        <v>731</v>
      </c>
      <c r="I92" s="1093" t="s">
        <v>802</v>
      </c>
      <c r="J92" s="996">
        <v>400</v>
      </c>
      <c r="K92" s="996">
        <v>224</v>
      </c>
      <c r="L92" s="996"/>
      <c r="M92" s="997">
        <f t="shared" si="12"/>
        <v>107520</v>
      </c>
      <c r="N92" s="997">
        <f t="shared" ref="N92:N110" si="15">M92</f>
        <v>107520</v>
      </c>
      <c r="O92" s="997">
        <f t="shared" si="13"/>
        <v>0</v>
      </c>
      <c r="P92" s="1094">
        <v>1</v>
      </c>
      <c r="Q92" s="997">
        <f t="shared" si="10"/>
        <v>107520</v>
      </c>
      <c r="R92" s="1170">
        <v>107520</v>
      </c>
      <c r="S92" s="1105" t="s">
        <v>1042</v>
      </c>
      <c r="T92" s="1102" t="s">
        <v>971</v>
      </c>
      <c r="U92" s="1091" t="s">
        <v>1066</v>
      </c>
      <c r="V92" s="979" t="s">
        <v>993</v>
      </c>
      <c r="W92" s="989"/>
      <c r="X92" s="989">
        <f t="shared" si="14"/>
        <v>107520</v>
      </c>
      <c r="Y92" s="989"/>
    </row>
    <row r="93" spans="1:25" ht="45" x14ac:dyDescent="0.25">
      <c r="A93" s="994">
        <v>86</v>
      </c>
      <c r="B93" s="959" t="s">
        <v>798</v>
      </c>
      <c r="C93" s="959" t="s">
        <v>895</v>
      </c>
      <c r="D93" s="961" t="s">
        <v>319</v>
      </c>
      <c r="E93" s="960" t="s">
        <v>800</v>
      </c>
      <c r="F93" s="961" t="s">
        <v>896</v>
      </c>
      <c r="G93" s="961" t="s">
        <v>701</v>
      </c>
      <c r="H93" s="961" t="s">
        <v>731</v>
      </c>
      <c r="I93" s="1093" t="s">
        <v>802</v>
      </c>
      <c r="J93" s="996">
        <v>400</v>
      </c>
      <c r="K93" s="996">
        <v>56</v>
      </c>
      <c r="L93" s="996"/>
      <c r="M93" s="997">
        <f t="shared" si="12"/>
        <v>26880</v>
      </c>
      <c r="N93" s="997">
        <f t="shared" si="15"/>
        <v>26880</v>
      </c>
      <c r="O93" s="997">
        <f t="shared" si="13"/>
        <v>0</v>
      </c>
      <c r="P93" s="1094">
        <v>1</v>
      </c>
      <c r="Q93" s="997">
        <f t="shared" si="10"/>
        <v>26880</v>
      </c>
      <c r="R93" s="1170">
        <v>26880</v>
      </c>
      <c r="S93" s="1105" t="s">
        <v>1042</v>
      </c>
      <c r="T93" s="1102" t="s">
        <v>971</v>
      </c>
      <c r="U93" s="1091" t="s">
        <v>1066</v>
      </c>
      <c r="V93" s="979" t="s">
        <v>993</v>
      </c>
      <c r="W93" s="989"/>
      <c r="X93" s="989">
        <f t="shared" si="14"/>
        <v>26880</v>
      </c>
      <c r="Y93" s="989"/>
    </row>
    <row r="94" spans="1:25" ht="30" x14ac:dyDescent="0.25">
      <c r="A94" s="994">
        <v>87</v>
      </c>
      <c r="B94" s="959" t="s">
        <v>798</v>
      </c>
      <c r="C94" s="959" t="s">
        <v>897</v>
      </c>
      <c r="D94" s="961" t="s">
        <v>319</v>
      </c>
      <c r="E94" s="960" t="s">
        <v>800</v>
      </c>
      <c r="F94" s="961" t="s">
        <v>898</v>
      </c>
      <c r="G94" s="961" t="s">
        <v>642</v>
      </c>
      <c r="H94" s="961" t="s">
        <v>731</v>
      </c>
      <c r="I94" s="1093" t="s">
        <v>802</v>
      </c>
      <c r="J94" s="996">
        <v>400</v>
      </c>
      <c r="K94" s="996">
        <v>24</v>
      </c>
      <c r="L94" s="996"/>
      <c r="M94" s="997">
        <f t="shared" si="12"/>
        <v>11520</v>
      </c>
      <c r="N94" s="997">
        <f t="shared" si="15"/>
        <v>11520</v>
      </c>
      <c r="O94" s="997">
        <f t="shared" si="13"/>
        <v>0</v>
      </c>
      <c r="P94" s="1094">
        <v>1</v>
      </c>
      <c r="Q94" s="997">
        <f t="shared" si="10"/>
        <v>11520</v>
      </c>
      <c r="R94" s="1170">
        <v>11520</v>
      </c>
      <c r="S94" s="1105" t="s">
        <v>1042</v>
      </c>
      <c r="T94" s="1102" t="s">
        <v>971</v>
      </c>
      <c r="U94" s="1091" t="s">
        <v>1066</v>
      </c>
      <c r="V94" s="979" t="s">
        <v>993</v>
      </c>
      <c r="W94" s="989"/>
      <c r="X94" s="989">
        <f t="shared" si="14"/>
        <v>11520</v>
      </c>
      <c r="Y94" s="989"/>
    </row>
    <row r="95" spans="1:25" ht="30" x14ac:dyDescent="0.25">
      <c r="A95" s="994">
        <v>88</v>
      </c>
      <c r="B95" s="959" t="s">
        <v>798</v>
      </c>
      <c r="C95" s="959" t="s">
        <v>892</v>
      </c>
      <c r="D95" s="961" t="s">
        <v>319</v>
      </c>
      <c r="E95" s="960" t="s">
        <v>800</v>
      </c>
      <c r="F95" s="961" t="s">
        <v>899</v>
      </c>
      <c r="G95" s="961" t="s">
        <v>643</v>
      </c>
      <c r="H95" s="961" t="s">
        <v>731</v>
      </c>
      <c r="I95" s="1093" t="s">
        <v>802</v>
      </c>
      <c r="J95" s="996">
        <v>400</v>
      </c>
      <c r="K95" s="996">
        <v>40</v>
      </c>
      <c r="L95" s="996"/>
      <c r="M95" s="997">
        <f t="shared" si="12"/>
        <v>19200</v>
      </c>
      <c r="N95" s="997">
        <f t="shared" si="15"/>
        <v>19200</v>
      </c>
      <c r="O95" s="997">
        <f t="shared" si="13"/>
        <v>0</v>
      </c>
      <c r="P95" s="1094">
        <v>1</v>
      </c>
      <c r="Q95" s="997">
        <f t="shared" si="10"/>
        <v>19200</v>
      </c>
      <c r="R95" s="1170">
        <v>19200</v>
      </c>
      <c r="S95" s="1105" t="s">
        <v>1042</v>
      </c>
      <c r="T95" s="1102" t="s">
        <v>971</v>
      </c>
      <c r="U95" s="1091" t="s">
        <v>1066</v>
      </c>
      <c r="V95" s="979" t="s">
        <v>993</v>
      </c>
      <c r="W95" s="989"/>
      <c r="X95" s="989">
        <f t="shared" si="14"/>
        <v>19200</v>
      </c>
      <c r="Y95" s="989"/>
    </row>
    <row r="96" spans="1:25" ht="30" x14ac:dyDescent="0.25">
      <c r="A96" s="994">
        <v>89</v>
      </c>
      <c r="B96" s="959" t="s">
        <v>798</v>
      </c>
      <c r="C96" s="959" t="s">
        <v>897</v>
      </c>
      <c r="D96" s="961" t="s">
        <v>319</v>
      </c>
      <c r="E96" s="960" t="s">
        <v>800</v>
      </c>
      <c r="F96" s="961" t="s">
        <v>900</v>
      </c>
      <c r="G96" s="961" t="s">
        <v>644</v>
      </c>
      <c r="H96" s="961" t="s">
        <v>731</v>
      </c>
      <c r="I96" s="1093" t="s">
        <v>802</v>
      </c>
      <c r="J96" s="996">
        <v>400</v>
      </c>
      <c r="K96" s="996">
        <v>56</v>
      </c>
      <c r="L96" s="996"/>
      <c r="M96" s="997">
        <f t="shared" si="12"/>
        <v>26880</v>
      </c>
      <c r="N96" s="997">
        <f t="shared" si="15"/>
        <v>26880</v>
      </c>
      <c r="O96" s="997">
        <f t="shared" si="13"/>
        <v>0</v>
      </c>
      <c r="P96" s="1094">
        <v>1</v>
      </c>
      <c r="Q96" s="997">
        <f t="shared" si="10"/>
        <v>26880</v>
      </c>
      <c r="R96" s="1170">
        <v>26880</v>
      </c>
      <c r="S96" s="1105" t="s">
        <v>1042</v>
      </c>
      <c r="T96" s="1102" t="s">
        <v>971</v>
      </c>
      <c r="U96" s="1091" t="s">
        <v>1066</v>
      </c>
      <c r="V96" s="979" t="s">
        <v>993</v>
      </c>
      <c r="W96" s="989"/>
      <c r="X96" s="989">
        <f t="shared" si="14"/>
        <v>26880</v>
      </c>
      <c r="Y96" s="989"/>
    </row>
    <row r="97" spans="1:25" ht="30" x14ac:dyDescent="0.25">
      <c r="A97" s="994">
        <v>90</v>
      </c>
      <c r="B97" s="959" t="s">
        <v>798</v>
      </c>
      <c r="C97" s="959" t="s">
        <v>897</v>
      </c>
      <c r="D97" s="961" t="s">
        <v>319</v>
      </c>
      <c r="E97" s="960" t="s">
        <v>800</v>
      </c>
      <c r="F97" s="961" t="s">
        <v>901</v>
      </c>
      <c r="G97" s="961" t="s">
        <v>645</v>
      </c>
      <c r="H97" s="961" t="s">
        <v>731</v>
      </c>
      <c r="I97" s="1093" t="s">
        <v>802</v>
      </c>
      <c r="J97" s="996">
        <v>400</v>
      </c>
      <c r="K97" s="996">
        <v>24</v>
      </c>
      <c r="L97" s="996"/>
      <c r="M97" s="997">
        <f t="shared" si="12"/>
        <v>11520</v>
      </c>
      <c r="N97" s="997">
        <f t="shared" si="15"/>
        <v>11520</v>
      </c>
      <c r="O97" s="997">
        <f t="shared" si="13"/>
        <v>0</v>
      </c>
      <c r="P97" s="1094">
        <v>1</v>
      </c>
      <c r="Q97" s="997">
        <f t="shared" si="10"/>
        <v>11520</v>
      </c>
      <c r="R97" s="1170">
        <v>11520</v>
      </c>
      <c r="S97" s="1105" t="s">
        <v>1042</v>
      </c>
      <c r="T97" s="1102" t="s">
        <v>971</v>
      </c>
      <c r="U97" s="1091" t="s">
        <v>1066</v>
      </c>
      <c r="V97" s="979" t="s">
        <v>993</v>
      </c>
      <c r="W97" s="989"/>
      <c r="X97" s="989">
        <f t="shared" si="14"/>
        <v>11520</v>
      </c>
      <c r="Y97" s="989"/>
    </row>
    <row r="98" spans="1:25" ht="45" x14ac:dyDescent="0.25">
      <c r="A98" s="994">
        <v>91</v>
      </c>
      <c r="B98" s="959" t="s">
        <v>798</v>
      </c>
      <c r="C98" s="959" t="s">
        <v>895</v>
      </c>
      <c r="D98" s="961" t="s">
        <v>319</v>
      </c>
      <c r="E98" s="960" t="s">
        <v>800</v>
      </c>
      <c r="F98" s="961" t="s">
        <v>902</v>
      </c>
      <c r="G98" s="961" t="s">
        <v>646</v>
      </c>
      <c r="H98" s="961" t="s">
        <v>731</v>
      </c>
      <c r="I98" s="1093" t="s">
        <v>802</v>
      </c>
      <c r="J98" s="996">
        <v>400</v>
      </c>
      <c r="K98" s="996">
        <v>24</v>
      </c>
      <c r="L98" s="996"/>
      <c r="M98" s="997">
        <f t="shared" si="12"/>
        <v>11520</v>
      </c>
      <c r="N98" s="997">
        <f t="shared" si="15"/>
        <v>11520</v>
      </c>
      <c r="O98" s="997">
        <f t="shared" si="13"/>
        <v>0</v>
      </c>
      <c r="P98" s="1094">
        <v>1</v>
      </c>
      <c r="Q98" s="997">
        <f t="shared" si="10"/>
        <v>11520</v>
      </c>
      <c r="R98" s="1170">
        <v>11520</v>
      </c>
      <c r="S98" s="1105" t="s">
        <v>1042</v>
      </c>
      <c r="T98" s="1102" t="s">
        <v>971</v>
      </c>
      <c r="U98" s="1091" t="s">
        <v>1066</v>
      </c>
      <c r="V98" s="979" t="s">
        <v>993</v>
      </c>
      <c r="W98" s="989"/>
      <c r="X98" s="989">
        <f t="shared" si="14"/>
        <v>11520</v>
      </c>
      <c r="Y98" s="989"/>
    </row>
    <row r="99" spans="1:25" ht="30" x14ac:dyDescent="0.25">
      <c r="A99" s="994">
        <v>92</v>
      </c>
      <c r="B99" s="959" t="s">
        <v>798</v>
      </c>
      <c r="C99" s="959" t="s">
        <v>895</v>
      </c>
      <c r="D99" s="961" t="s">
        <v>319</v>
      </c>
      <c r="E99" s="960" t="s">
        <v>800</v>
      </c>
      <c r="F99" s="961" t="s">
        <v>903</v>
      </c>
      <c r="G99" s="961" t="s">
        <v>813</v>
      </c>
      <c r="H99" s="961" t="s">
        <v>813</v>
      </c>
      <c r="I99" s="1093" t="s">
        <v>802</v>
      </c>
      <c r="J99" s="996">
        <v>400</v>
      </c>
      <c r="K99" s="996">
        <v>24</v>
      </c>
      <c r="L99" s="996"/>
      <c r="M99" s="997">
        <f t="shared" si="12"/>
        <v>11520</v>
      </c>
      <c r="N99" s="997">
        <f t="shared" si="15"/>
        <v>11520</v>
      </c>
      <c r="O99" s="997">
        <f t="shared" si="13"/>
        <v>0</v>
      </c>
      <c r="P99" s="1094">
        <v>1</v>
      </c>
      <c r="Q99" s="997">
        <f t="shared" si="10"/>
        <v>11520</v>
      </c>
      <c r="R99" s="1170">
        <v>11520</v>
      </c>
      <c r="S99" s="1105" t="s">
        <v>1042</v>
      </c>
      <c r="T99" s="1102" t="s">
        <v>971</v>
      </c>
      <c r="U99" s="1091" t="s">
        <v>1066</v>
      </c>
      <c r="V99" s="979" t="s">
        <v>993</v>
      </c>
      <c r="W99" s="989"/>
      <c r="X99" s="989">
        <f t="shared" si="14"/>
        <v>11520</v>
      </c>
      <c r="Y99" s="989"/>
    </row>
    <row r="100" spans="1:25" ht="30" x14ac:dyDescent="0.25">
      <c r="A100" s="994">
        <v>93</v>
      </c>
      <c r="B100" s="959" t="s">
        <v>798</v>
      </c>
      <c r="C100" s="959" t="s">
        <v>895</v>
      </c>
      <c r="D100" s="961" t="s">
        <v>319</v>
      </c>
      <c r="E100" s="960" t="s">
        <v>800</v>
      </c>
      <c r="F100" s="961" t="s">
        <v>904</v>
      </c>
      <c r="G100" s="961" t="s">
        <v>323</v>
      </c>
      <c r="H100" s="961" t="s">
        <v>323</v>
      </c>
      <c r="I100" s="1093" t="s">
        <v>802</v>
      </c>
      <c r="J100" s="996">
        <v>400</v>
      </c>
      <c r="K100" s="996">
        <v>24</v>
      </c>
      <c r="L100" s="996"/>
      <c r="M100" s="997">
        <f t="shared" si="12"/>
        <v>11520</v>
      </c>
      <c r="N100" s="997">
        <f t="shared" si="15"/>
        <v>11520</v>
      </c>
      <c r="O100" s="997">
        <f t="shared" si="13"/>
        <v>0</v>
      </c>
      <c r="P100" s="1094">
        <v>1</v>
      </c>
      <c r="Q100" s="997">
        <f t="shared" si="10"/>
        <v>11520</v>
      </c>
      <c r="R100" s="1170">
        <v>11520</v>
      </c>
      <c r="S100" s="1105" t="s">
        <v>1042</v>
      </c>
      <c r="T100" s="1102" t="s">
        <v>971</v>
      </c>
      <c r="U100" s="1091" t="s">
        <v>1066</v>
      </c>
      <c r="V100" s="979" t="s">
        <v>993</v>
      </c>
      <c r="W100" s="989"/>
      <c r="X100" s="989">
        <f t="shared" si="14"/>
        <v>11520</v>
      </c>
      <c r="Y100" s="989"/>
    </row>
    <row r="101" spans="1:25" ht="30" x14ac:dyDescent="0.25">
      <c r="A101" s="994">
        <v>94</v>
      </c>
      <c r="B101" s="959" t="s">
        <v>798</v>
      </c>
      <c r="C101" s="959" t="s">
        <v>895</v>
      </c>
      <c r="D101" s="961" t="s">
        <v>319</v>
      </c>
      <c r="E101" s="960" t="s">
        <v>800</v>
      </c>
      <c r="F101" s="961" t="s">
        <v>905</v>
      </c>
      <c r="G101" s="961" t="s">
        <v>816</v>
      </c>
      <c r="H101" s="961" t="s">
        <v>816</v>
      </c>
      <c r="I101" s="1093" t="s">
        <v>802</v>
      </c>
      <c r="J101" s="996">
        <v>400</v>
      </c>
      <c r="K101" s="996">
        <v>5</v>
      </c>
      <c r="L101" s="996"/>
      <c r="M101" s="997">
        <f t="shared" si="12"/>
        <v>2400</v>
      </c>
      <c r="N101" s="997">
        <f t="shared" si="15"/>
        <v>2400</v>
      </c>
      <c r="O101" s="997">
        <f t="shared" si="13"/>
        <v>0</v>
      </c>
      <c r="P101" s="1094">
        <v>1</v>
      </c>
      <c r="Q101" s="997">
        <f t="shared" si="10"/>
        <v>2400</v>
      </c>
      <c r="R101" s="1170">
        <v>2400</v>
      </c>
      <c r="S101" s="1105" t="s">
        <v>1042</v>
      </c>
      <c r="T101" s="1102" t="s">
        <v>971</v>
      </c>
      <c r="U101" s="1091" t="s">
        <v>1066</v>
      </c>
      <c r="V101" s="979" t="s">
        <v>993</v>
      </c>
      <c r="W101" s="989"/>
      <c r="X101" s="989">
        <f t="shared" si="14"/>
        <v>2400</v>
      </c>
      <c r="Y101" s="989"/>
    </row>
    <row r="102" spans="1:25" ht="45" x14ac:dyDescent="0.25">
      <c r="A102" s="994">
        <v>95</v>
      </c>
      <c r="B102" s="959" t="s">
        <v>798</v>
      </c>
      <c r="C102" s="959" t="s">
        <v>892</v>
      </c>
      <c r="D102" s="961" t="s">
        <v>319</v>
      </c>
      <c r="E102" s="960" t="s">
        <v>800</v>
      </c>
      <c r="F102" s="961" t="s">
        <v>906</v>
      </c>
      <c r="G102" s="961" t="s">
        <v>818</v>
      </c>
      <c r="H102" s="961" t="s">
        <v>731</v>
      </c>
      <c r="I102" s="1093" t="s">
        <v>802</v>
      </c>
      <c r="J102" s="996">
        <v>400</v>
      </c>
      <c r="K102" s="996">
        <v>40</v>
      </c>
      <c r="L102" s="996"/>
      <c r="M102" s="997">
        <f t="shared" si="12"/>
        <v>19200</v>
      </c>
      <c r="N102" s="997">
        <f t="shared" si="15"/>
        <v>19200</v>
      </c>
      <c r="O102" s="997">
        <f t="shared" si="13"/>
        <v>0</v>
      </c>
      <c r="P102" s="1094">
        <v>1</v>
      </c>
      <c r="Q102" s="997">
        <f t="shared" si="10"/>
        <v>19200</v>
      </c>
      <c r="R102" s="1170">
        <v>19200</v>
      </c>
      <c r="S102" s="1105" t="s">
        <v>1042</v>
      </c>
      <c r="T102" s="1102" t="s">
        <v>971</v>
      </c>
      <c r="U102" s="1091" t="s">
        <v>1066</v>
      </c>
      <c r="V102" s="979" t="s">
        <v>993</v>
      </c>
      <c r="W102" s="989"/>
      <c r="X102" s="989">
        <f t="shared" si="14"/>
        <v>19200</v>
      </c>
      <c r="Y102" s="989"/>
    </row>
    <row r="103" spans="1:25" ht="76.5" x14ac:dyDescent="0.25">
      <c r="A103" s="994">
        <v>96</v>
      </c>
      <c r="B103" s="959" t="s">
        <v>798</v>
      </c>
      <c r="C103" s="959" t="s">
        <v>895</v>
      </c>
      <c r="D103" s="961" t="s">
        <v>319</v>
      </c>
      <c r="E103" s="960" t="s">
        <v>800</v>
      </c>
      <c r="F103" s="964" t="s">
        <v>907</v>
      </c>
      <c r="G103" s="964" t="s">
        <v>908</v>
      </c>
      <c r="H103" s="961" t="s">
        <v>731</v>
      </c>
      <c r="I103" s="1093" t="s">
        <v>802</v>
      </c>
      <c r="J103" s="1098">
        <v>500</v>
      </c>
      <c r="K103" s="1098">
        <v>8</v>
      </c>
      <c r="L103" s="996"/>
      <c r="M103" s="1095">
        <f t="shared" si="12"/>
        <v>4800</v>
      </c>
      <c r="N103" s="1095">
        <f t="shared" si="15"/>
        <v>4800</v>
      </c>
      <c r="O103" s="1095">
        <f t="shared" si="13"/>
        <v>0</v>
      </c>
      <c r="P103" s="1099">
        <v>1</v>
      </c>
      <c r="Q103" s="1095">
        <f t="shared" si="10"/>
        <v>4800</v>
      </c>
      <c r="R103" s="1170">
        <v>4800</v>
      </c>
      <c r="S103" s="1105" t="s">
        <v>1042</v>
      </c>
      <c r="T103" s="1103" t="s">
        <v>971</v>
      </c>
      <c r="U103" s="1092" t="s">
        <v>1045</v>
      </c>
      <c r="V103" s="979" t="s">
        <v>993</v>
      </c>
      <c r="W103" s="989"/>
      <c r="X103" s="989">
        <f t="shared" si="14"/>
        <v>4800</v>
      </c>
      <c r="Y103" s="989"/>
    </row>
    <row r="104" spans="1:25" ht="306" x14ac:dyDescent="0.25">
      <c r="A104" s="958">
        <v>97</v>
      </c>
      <c r="B104" s="959" t="s">
        <v>798</v>
      </c>
      <c r="C104" s="959" t="s">
        <v>974</v>
      </c>
      <c r="D104" s="961" t="s">
        <v>319</v>
      </c>
      <c r="E104" s="960" t="s">
        <v>928</v>
      </c>
      <c r="F104" s="961" t="s">
        <v>953</v>
      </c>
      <c r="G104" s="961"/>
      <c r="H104" s="961" t="s">
        <v>731</v>
      </c>
      <c r="I104" s="1097" t="s">
        <v>954</v>
      </c>
      <c r="J104" s="1158">
        <f>24.29</f>
        <v>24.29</v>
      </c>
      <c r="K104" s="1098">
        <f>160*4</f>
        <v>640</v>
      </c>
      <c r="L104" s="996"/>
      <c r="M104" s="1095">
        <f t="shared" ref="M104:M110" si="16">ROUND(J104*K104*1,2)</f>
        <v>15545.6</v>
      </c>
      <c r="N104" s="1095">
        <f t="shared" si="15"/>
        <v>15545.6</v>
      </c>
      <c r="O104" s="1095">
        <f t="shared" si="13"/>
        <v>0</v>
      </c>
      <c r="P104" s="1099">
        <v>1</v>
      </c>
      <c r="Q104" s="1095">
        <f t="shared" si="10"/>
        <v>15545.6</v>
      </c>
      <c r="R104" s="1170">
        <v>11986.54</v>
      </c>
      <c r="S104" s="1105"/>
      <c r="T104" s="1103" t="s">
        <v>955</v>
      </c>
      <c r="U104" s="1092" t="s">
        <v>1067</v>
      </c>
      <c r="V104" s="979" t="s">
        <v>993</v>
      </c>
      <c r="W104" s="989"/>
      <c r="X104" s="989">
        <f t="shared" si="14"/>
        <v>11986.54</v>
      </c>
      <c r="Y104" s="989"/>
    </row>
    <row r="105" spans="1:25" ht="89.25" x14ac:dyDescent="0.25">
      <c r="A105" s="958">
        <v>98</v>
      </c>
      <c r="B105" s="959" t="s">
        <v>798</v>
      </c>
      <c r="C105" s="959" t="s">
        <v>974</v>
      </c>
      <c r="D105" s="961" t="s">
        <v>319</v>
      </c>
      <c r="E105" s="960" t="s">
        <v>928</v>
      </c>
      <c r="F105" s="961" t="s">
        <v>957</v>
      </c>
      <c r="G105" s="961"/>
      <c r="H105" s="961" t="s">
        <v>731</v>
      </c>
      <c r="I105" s="1097" t="s">
        <v>954</v>
      </c>
      <c r="J105" s="1158">
        <f>24.29</f>
        <v>24.29</v>
      </c>
      <c r="K105" s="1098">
        <f>ROUND(28.8*4*12,)</f>
        <v>1382</v>
      </c>
      <c r="L105" s="996"/>
      <c r="M105" s="1095">
        <f t="shared" si="16"/>
        <v>33568.78</v>
      </c>
      <c r="N105" s="1095">
        <f t="shared" si="15"/>
        <v>33568.78</v>
      </c>
      <c r="O105" s="1095">
        <f t="shared" si="13"/>
        <v>0</v>
      </c>
      <c r="P105" s="1099">
        <v>1</v>
      </c>
      <c r="Q105" s="1095">
        <f t="shared" si="10"/>
        <v>33568.78</v>
      </c>
      <c r="R105" s="1170">
        <v>18465.490000000002</v>
      </c>
      <c r="S105" s="1105"/>
      <c r="T105" s="1103" t="s">
        <v>955</v>
      </c>
      <c r="U105" s="1092" t="s">
        <v>1068</v>
      </c>
      <c r="V105" s="979" t="s">
        <v>993</v>
      </c>
      <c r="W105" s="989"/>
      <c r="X105" s="989">
        <f t="shared" si="14"/>
        <v>18465.490000000002</v>
      </c>
      <c r="Y105" s="989"/>
    </row>
    <row r="106" spans="1:25" ht="140.25" x14ac:dyDescent="0.25">
      <c r="A106" s="958">
        <v>99</v>
      </c>
      <c r="B106" s="959" t="s">
        <v>798</v>
      </c>
      <c r="C106" s="959" t="s">
        <v>974</v>
      </c>
      <c r="D106" s="961" t="s">
        <v>319</v>
      </c>
      <c r="E106" s="960" t="s">
        <v>928</v>
      </c>
      <c r="F106" s="961" t="s">
        <v>958</v>
      </c>
      <c r="G106" s="961"/>
      <c r="H106" s="961" t="s">
        <v>731</v>
      </c>
      <c r="I106" s="1097" t="s">
        <v>954</v>
      </c>
      <c r="J106" s="1158">
        <f>40.48</f>
        <v>40.479999999999997</v>
      </c>
      <c r="K106" s="1098">
        <f>ROUND(29.2*4,)</f>
        <v>117</v>
      </c>
      <c r="L106" s="996"/>
      <c r="M106" s="1095">
        <f t="shared" si="16"/>
        <v>4736.16</v>
      </c>
      <c r="N106" s="1095">
        <f t="shared" si="15"/>
        <v>4736.16</v>
      </c>
      <c r="O106" s="1095">
        <f t="shared" si="13"/>
        <v>0</v>
      </c>
      <c r="P106" s="1099">
        <v>1</v>
      </c>
      <c r="Q106" s="1095">
        <f t="shared" si="10"/>
        <v>4736.16</v>
      </c>
      <c r="R106" s="1170">
        <v>3642.84</v>
      </c>
      <c r="S106" s="1105"/>
      <c r="T106" s="1103" t="s">
        <v>955</v>
      </c>
      <c r="U106" s="1092" t="s">
        <v>1069</v>
      </c>
      <c r="V106" s="979" t="s">
        <v>993</v>
      </c>
      <c r="W106" s="989"/>
      <c r="X106" s="989">
        <f t="shared" si="14"/>
        <v>3642.84</v>
      </c>
      <c r="Y106" s="989"/>
    </row>
    <row r="107" spans="1:25" ht="89.25" x14ac:dyDescent="0.25">
      <c r="A107" s="958">
        <v>100</v>
      </c>
      <c r="B107" s="959" t="s">
        <v>798</v>
      </c>
      <c r="C107" s="959" t="s">
        <v>974</v>
      </c>
      <c r="D107" s="961" t="s">
        <v>319</v>
      </c>
      <c r="E107" s="960" t="s">
        <v>928</v>
      </c>
      <c r="F107" s="961" t="s">
        <v>960</v>
      </c>
      <c r="G107" s="961"/>
      <c r="H107" s="961" t="s">
        <v>731</v>
      </c>
      <c r="I107" s="1097" t="s">
        <v>954</v>
      </c>
      <c r="J107" s="1158">
        <f>24.29</f>
        <v>24.29</v>
      </c>
      <c r="K107" s="1098">
        <f>ROUND(4*28.8*24,)</f>
        <v>2765</v>
      </c>
      <c r="L107" s="996"/>
      <c r="M107" s="1095">
        <f t="shared" si="16"/>
        <v>67161.850000000006</v>
      </c>
      <c r="N107" s="1095">
        <f t="shared" si="15"/>
        <v>67161.850000000006</v>
      </c>
      <c r="O107" s="1095">
        <f t="shared" si="13"/>
        <v>0</v>
      </c>
      <c r="P107" s="1099">
        <v>1</v>
      </c>
      <c r="Q107" s="1095">
        <f t="shared" si="10"/>
        <v>67161.850000000006</v>
      </c>
      <c r="R107" s="1170">
        <v>23467.49</v>
      </c>
      <c r="S107" s="1105"/>
      <c r="T107" s="1103" t="s">
        <v>955</v>
      </c>
      <c r="U107" s="1092" t="s">
        <v>1070</v>
      </c>
      <c r="V107" s="979" t="s">
        <v>993</v>
      </c>
      <c r="W107" s="989"/>
      <c r="X107" s="989">
        <f t="shared" si="14"/>
        <v>23467.49</v>
      </c>
      <c r="Y107" s="989"/>
    </row>
    <row r="108" spans="1:25" ht="89.25" x14ac:dyDescent="0.25">
      <c r="A108" s="958">
        <v>101</v>
      </c>
      <c r="B108" s="959" t="s">
        <v>798</v>
      </c>
      <c r="C108" s="959" t="s">
        <v>974</v>
      </c>
      <c r="D108" s="961" t="s">
        <v>319</v>
      </c>
      <c r="E108" s="960" t="s">
        <v>928</v>
      </c>
      <c r="F108" s="961" t="s">
        <v>961</v>
      </c>
      <c r="G108" s="961"/>
      <c r="H108" s="961" t="s">
        <v>731</v>
      </c>
      <c r="I108" s="1097" t="s">
        <v>954</v>
      </c>
      <c r="J108" s="1158">
        <f>24.29</f>
        <v>24.29</v>
      </c>
      <c r="K108" s="1098">
        <f>4*48</f>
        <v>192</v>
      </c>
      <c r="L108" s="996"/>
      <c r="M108" s="1095">
        <f t="shared" si="16"/>
        <v>4663.68</v>
      </c>
      <c r="N108" s="1095">
        <f t="shared" si="15"/>
        <v>4663.68</v>
      </c>
      <c r="O108" s="1095">
        <f t="shared" si="13"/>
        <v>0</v>
      </c>
      <c r="P108" s="1099">
        <v>1</v>
      </c>
      <c r="Q108" s="1095">
        <f t="shared" si="10"/>
        <v>4663.68</v>
      </c>
      <c r="R108" s="1170">
        <v>2379.08</v>
      </c>
      <c r="S108" s="1105"/>
      <c r="T108" s="1103" t="s">
        <v>955</v>
      </c>
      <c r="U108" s="1092" t="s">
        <v>1071</v>
      </c>
      <c r="V108" s="979" t="s">
        <v>993</v>
      </c>
      <c r="W108" s="989"/>
      <c r="X108" s="989">
        <f t="shared" si="14"/>
        <v>2379.08</v>
      </c>
      <c r="Y108" s="989"/>
    </row>
    <row r="109" spans="1:25" ht="89.25" x14ac:dyDescent="0.25">
      <c r="A109" s="958">
        <v>102</v>
      </c>
      <c r="B109" s="959" t="s">
        <v>798</v>
      </c>
      <c r="C109" s="959" t="s">
        <v>974</v>
      </c>
      <c r="D109" s="961" t="s">
        <v>319</v>
      </c>
      <c r="E109" s="960" t="s">
        <v>928</v>
      </c>
      <c r="F109" s="961" t="s">
        <v>963</v>
      </c>
      <c r="G109" s="961"/>
      <c r="H109" s="961" t="s">
        <v>731</v>
      </c>
      <c r="I109" s="1097" t="s">
        <v>954</v>
      </c>
      <c r="J109" s="1158">
        <f>24.29</f>
        <v>24.29</v>
      </c>
      <c r="K109" s="1098">
        <f>4*48</f>
        <v>192</v>
      </c>
      <c r="L109" s="996"/>
      <c r="M109" s="1095">
        <f t="shared" si="16"/>
        <v>4663.68</v>
      </c>
      <c r="N109" s="1095">
        <f t="shared" si="15"/>
        <v>4663.68</v>
      </c>
      <c r="O109" s="1095">
        <f t="shared" si="13"/>
        <v>0</v>
      </c>
      <c r="P109" s="1099">
        <v>1</v>
      </c>
      <c r="Q109" s="1095">
        <f t="shared" si="10"/>
        <v>4663.68</v>
      </c>
      <c r="R109" s="1170">
        <v>2936.86</v>
      </c>
      <c r="S109" s="1105"/>
      <c r="T109" s="1103" t="s">
        <v>955</v>
      </c>
      <c r="U109" s="1092" t="s">
        <v>1072</v>
      </c>
      <c r="V109" s="979" t="s">
        <v>993</v>
      </c>
      <c r="W109" s="989"/>
      <c r="X109" s="989">
        <f t="shared" si="14"/>
        <v>2936.86</v>
      </c>
      <c r="Y109" s="989"/>
    </row>
    <row r="110" spans="1:25" ht="140.25" x14ac:dyDescent="0.25">
      <c r="A110" s="958">
        <v>103</v>
      </c>
      <c r="B110" s="959" t="s">
        <v>798</v>
      </c>
      <c r="C110" s="959" t="s">
        <v>974</v>
      </c>
      <c r="D110" s="961" t="s">
        <v>319</v>
      </c>
      <c r="E110" s="960" t="s">
        <v>928</v>
      </c>
      <c r="F110" s="961" t="s">
        <v>975</v>
      </c>
      <c r="G110" s="961"/>
      <c r="H110" s="961" t="s">
        <v>731</v>
      </c>
      <c r="I110" s="1097" t="s">
        <v>954</v>
      </c>
      <c r="J110" s="1158">
        <f>40.48</f>
        <v>40.479999999999997</v>
      </c>
      <c r="K110" s="1098">
        <f>ROUND(29.2*4,)</f>
        <v>117</v>
      </c>
      <c r="L110" s="996"/>
      <c r="M110" s="1095">
        <f t="shared" si="16"/>
        <v>4736.16</v>
      </c>
      <c r="N110" s="1095">
        <f t="shared" si="15"/>
        <v>4736.16</v>
      </c>
      <c r="O110" s="1095">
        <f t="shared" si="13"/>
        <v>0</v>
      </c>
      <c r="P110" s="1099">
        <v>1</v>
      </c>
      <c r="Q110" s="1095">
        <f t="shared" si="10"/>
        <v>4736.16</v>
      </c>
      <c r="R110" s="1170">
        <v>3103.35</v>
      </c>
      <c r="S110" s="1105"/>
      <c r="T110" s="1103" t="s">
        <v>955</v>
      </c>
      <c r="U110" s="1092" t="s">
        <v>1073</v>
      </c>
      <c r="V110" s="979" t="s">
        <v>993</v>
      </c>
      <c r="W110" s="989"/>
      <c r="X110" s="989">
        <f t="shared" si="14"/>
        <v>3103.35</v>
      </c>
      <c r="Y110" s="989"/>
    </row>
    <row r="111" spans="1:25" x14ac:dyDescent="0.25">
      <c r="A111" s="977" t="s">
        <v>909</v>
      </c>
      <c r="B111" s="980"/>
      <c r="C111" s="980"/>
      <c r="D111" s="978"/>
      <c r="E111" s="980"/>
      <c r="F111" s="980"/>
      <c r="G111" s="980"/>
      <c r="H111" s="980"/>
      <c r="I111" s="980"/>
      <c r="J111" s="1159"/>
      <c r="K111" s="980"/>
      <c r="L111" s="980"/>
      <c r="M111" s="1160"/>
      <c r="N111" s="1160"/>
      <c r="O111" s="1160"/>
      <c r="P111" s="1161"/>
      <c r="Q111" s="1160"/>
      <c r="R111" s="1170"/>
      <c r="S111" s="1162"/>
      <c r="T111" s="1163"/>
      <c r="U111" s="978"/>
      <c r="V111" s="980"/>
      <c r="W111" s="990"/>
      <c r="X111" s="990"/>
      <c r="Y111" s="990"/>
    </row>
    <row r="112" spans="1:25" ht="60" x14ac:dyDescent="0.25">
      <c r="A112" s="994">
        <v>104</v>
      </c>
      <c r="B112" s="959" t="s">
        <v>798</v>
      </c>
      <c r="C112" s="959" t="s">
        <v>910</v>
      </c>
      <c r="D112" s="961" t="s">
        <v>909</v>
      </c>
      <c r="E112" s="960" t="s">
        <v>800</v>
      </c>
      <c r="F112" s="961" t="s">
        <v>911</v>
      </c>
      <c r="G112" s="961" t="s">
        <v>639</v>
      </c>
      <c r="H112" s="961" t="s">
        <v>731</v>
      </c>
      <c r="I112" s="1093" t="s">
        <v>802</v>
      </c>
      <c r="J112" s="996">
        <v>450</v>
      </c>
      <c r="K112" s="996">
        <v>2</v>
      </c>
      <c r="L112" s="996"/>
      <c r="M112" s="997">
        <f t="shared" ref="M112:M125" si="17">ROUND(J112*K112*1.2,)</f>
        <v>1080</v>
      </c>
      <c r="N112" s="997">
        <f>M112</f>
        <v>1080</v>
      </c>
      <c r="O112" s="997">
        <f t="shared" si="13"/>
        <v>0</v>
      </c>
      <c r="P112" s="1094">
        <v>1</v>
      </c>
      <c r="Q112" s="997">
        <f t="shared" si="10"/>
        <v>1080</v>
      </c>
      <c r="R112" s="1170">
        <v>1080</v>
      </c>
      <c r="S112" s="1105" t="s">
        <v>1042</v>
      </c>
      <c r="T112" s="1102" t="s">
        <v>971</v>
      </c>
      <c r="U112" s="1091" t="s">
        <v>1057</v>
      </c>
      <c r="V112" s="979" t="s">
        <v>993</v>
      </c>
      <c r="W112" s="989"/>
      <c r="Y112" s="989">
        <f t="shared" ref="Y112:Y132" si="18">R112</f>
        <v>1080</v>
      </c>
    </row>
    <row r="113" spans="1:25" ht="60" x14ac:dyDescent="0.25">
      <c r="A113" s="994">
        <v>105</v>
      </c>
      <c r="B113" s="959" t="s">
        <v>798</v>
      </c>
      <c r="C113" s="959" t="s">
        <v>910</v>
      </c>
      <c r="D113" s="961" t="s">
        <v>909</v>
      </c>
      <c r="E113" s="960" t="s">
        <v>800</v>
      </c>
      <c r="F113" s="961" t="s">
        <v>912</v>
      </c>
      <c r="G113" s="961" t="s">
        <v>724</v>
      </c>
      <c r="H113" s="961" t="s">
        <v>731</v>
      </c>
      <c r="I113" s="1093" t="s">
        <v>802</v>
      </c>
      <c r="J113" s="996">
        <v>450</v>
      </c>
      <c r="K113" s="996">
        <v>8</v>
      </c>
      <c r="L113" s="996"/>
      <c r="M113" s="997">
        <f t="shared" si="17"/>
        <v>4320</v>
      </c>
      <c r="N113" s="997">
        <f t="shared" ref="N113:N114" si="19">M113</f>
        <v>4320</v>
      </c>
      <c r="O113" s="997">
        <f t="shared" si="13"/>
        <v>0</v>
      </c>
      <c r="P113" s="1094">
        <v>1</v>
      </c>
      <c r="Q113" s="997">
        <f t="shared" si="10"/>
        <v>4320</v>
      </c>
      <c r="R113" s="1170">
        <v>4320</v>
      </c>
      <c r="S113" s="1105" t="s">
        <v>1042</v>
      </c>
      <c r="T113" s="1102" t="s">
        <v>971</v>
      </c>
      <c r="U113" s="1091" t="s">
        <v>1057</v>
      </c>
      <c r="V113" s="979" t="s">
        <v>993</v>
      </c>
      <c r="W113" s="989"/>
      <c r="Y113" s="989">
        <f t="shared" si="18"/>
        <v>4320</v>
      </c>
    </row>
    <row r="114" spans="1:25" ht="75" x14ac:dyDescent="0.25">
      <c r="A114" s="994">
        <v>106</v>
      </c>
      <c r="B114" s="959" t="s">
        <v>798</v>
      </c>
      <c r="C114" s="959" t="s">
        <v>913</v>
      </c>
      <c r="D114" s="961" t="s">
        <v>909</v>
      </c>
      <c r="E114" s="960" t="s">
        <v>800</v>
      </c>
      <c r="F114" s="961" t="s">
        <v>914</v>
      </c>
      <c r="G114" s="961" t="s">
        <v>701</v>
      </c>
      <c r="H114" s="961" t="s">
        <v>731</v>
      </c>
      <c r="I114" s="1093" t="s">
        <v>802</v>
      </c>
      <c r="J114" s="996">
        <v>450</v>
      </c>
      <c r="K114" s="996">
        <v>2</v>
      </c>
      <c r="L114" s="996"/>
      <c r="M114" s="997">
        <f t="shared" si="17"/>
        <v>1080</v>
      </c>
      <c r="N114" s="997">
        <f t="shared" si="19"/>
        <v>1080</v>
      </c>
      <c r="O114" s="997">
        <f t="shared" si="13"/>
        <v>0</v>
      </c>
      <c r="P114" s="1094">
        <v>1</v>
      </c>
      <c r="Q114" s="997">
        <f t="shared" si="10"/>
        <v>1080</v>
      </c>
      <c r="R114" s="1170">
        <v>1080</v>
      </c>
      <c r="S114" s="1105" t="s">
        <v>1042</v>
      </c>
      <c r="T114" s="1102" t="s">
        <v>971</v>
      </c>
      <c r="U114" s="1091" t="s">
        <v>1057</v>
      </c>
      <c r="V114" s="979" t="s">
        <v>993</v>
      </c>
      <c r="W114" s="989"/>
      <c r="Y114" s="989">
        <f t="shared" si="18"/>
        <v>1080</v>
      </c>
    </row>
    <row r="115" spans="1:25" ht="75" x14ac:dyDescent="0.25">
      <c r="A115" s="994">
        <v>107</v>
      </c>
      <c r="B115" s="959" t="s">
        <v>798</v>
      </c>
      <c r="C115" s="959" t="s">
        <v>915</v>
      </c>
      <c r="D115" s="961" t="s">
        <v>909</v>
      </c>
      <c r="E115" s="960" t="s">
        <v>800</v>
      </c>
      <c r="F115" s="961" t="s">
        <v>916</v>
      </c>
      <c r="G115" s="961" t="s">
        <v>642</v>
      </c>
      <c r="H115" s="961" t="s">
        <v>731</v>
      </c>
      <c r="I115" s="1093" t="s">
        <v>802</v>
      </c>
      <c r="J115" s="996">
        <v>450</v>
      </c>
      <c r="K115" s="996">
        <v>1</v>
      </c>
      <c r="L115" s="996"/>
      <c r="M115" s="997">
        <f t="shared" si="17"/>
        <v>540</v>
      </c>
      <c r="N115" s="997">
        <f>M115</f>
        <v>540</v>
      </c>
      <c r="O115" s="997">
        <f t="shared" si="13"/>
        <v>0</v>
      </c>
      <c r="P115" s="1094">
        <v>1</v>
      </c>
      <c r="Q115" s="997">
        <f t="shared" si="10"/>
        <v>540</v>
      </c>
      <c r="R115" s="1170">
        <v>540</v>
      </c>
      <c r="S115" s="1105" t="s">
        <v>1042</v>
      </c>
      <c r="T115" s="1102" t="s">
        <v>971</v>
      </c>
      <c r="U115" s="1091" t="s">
        <v>1057</v>
      </c>
      <c r="V115" s="979" t="s">
        <v>993</v>
      </c>
      <c r="W115" s="989"/>
      <c r="Y115" s="989">
        <f t="shared" si="18"/>
        <v>540</v>
      </c>
    </row>
    <row r="116" spans="1:25" ht="60" x14ac:dyDescent="0.25">
      <c r="A116" s="994">
        <v>108</v>
      </c>
      <c r="B116" s="959" t="s">
        <v>798</v>
      </c>
      <c r="C116" s="959" t="s">
        <v>910</v>
      </c>
      <c r="D116" s="961" t="s">
        <v>909</v>
      </c>
      <c r="E116" s="960" t="s">
        <v>800</v>
      </c>
      <c r="F116" s="961" t="s">
        <v>917</v>
      </c>
      <c r="G116" s="961" t="s">
        <v>643</v>
      </c>
      <c r="H116" s="961" t="s">
        <v>731</v>
      </c>
      <c r="I116" s="1093" t="s">
        <v>802</v>
      </c>
      <c r="J116" s="996">
        <v>450</v>
      </c>
      <c r="K116" s="996">
        <v>1</v>
      </c>
      <c r="L116" s="996"/>
      <c r="M116" s="997">
        <f t="shared" si="17"/>
        <v>540</v>
      </c>
      <c r="N116" s="997">
        <f t="shared" ref="N116:N132" si="20">M116</f>
        <v>540</v>
      </c>
      <c r="O116" s="997">
        <f t="shared" si="13"/>
        <v>0</v>
      </c>
      <c r="P116" s="1094">
        <v>1</v>
      </c>
      <c r="Q116" s="997">
        <f t="shared" si="10"/>
        <v>540</v>
      </c>
      <c r="R116" s="1170">
        <v>540</v>
      </c>
      <c r="S116" s="1105" t="s">
        <v>1042</v>
      </c>
      <c r="T116" s="1102" t="s">
        <v>971</v>
      </c>
      <c r="U116" s="1091" t="s">
        <v>1057</v>
      </c>
      <c r="V116" s="979" t="s">
        <v>993</v>
      </c>
      <c r="W116" s="989"/>
      <c r="Y116" s="989">
        <f t="shared" si="18"/>
        <v>540</v>
      </c>
    </row>
    <row r="117" spans="1:25" ht="45" x14ac:dyDescent="0.25">
      <c r="A117" s="994">
        <v>109</v>
      </c>
      <c r="B117" s="959" t="s">
        <v>798</v>
      </c>
      <c r="C117" s="959" t="s">
        <v>915</v>
      </c>
      <c r="D117" s="961" t="s">
        <v>909</v>
      </c>
      <c r="E117" s="960" t="s">
        <v>800</v>
      </c>
      <c r="F117" s="961" t="s">
        <v>918</v>
      </c>
      <c r="G117" s="961" t="s">
        <v>644</v>
      </c>
      <c r="H117" s="961" t="s">
        <v>731</v>
      </c>
      <c r="I117" s="1093" t="s">
        <v>802</v>
      </c>
      <c r="J117" s="996">
        <v>450</v>
      </c>
      <c r="K117" s="996">
        <v>2</v>
      </c>
      <c r="L117" s="996"/>
      <c r="M117" s="997">
        <f t="shared" si="17"/>
        <v>1080</v>
      </c>
      <c r="N117" s="997">
        <f t="shared" si="20"/>
        <v>1080</v>
      </c>
      <c r="O117" s="997">
        <f t="shared" si="13"/>
        <v>0</v>
      </c>
      <c r="P117" s="1094">
        <v>1</v>
      </c>
      <c r="Q117" s="997">
        <f t="shared" si="10"/>
        <v>1080</v>
      </c>
      <c r="R117" s="1170">
        <v>1080</v>
      </c>
      <c r="S117" s="1105" t="s">
        <v>1042</v>
      </c>
      <c r="T117" s="1102" t="s">
        <v>971</v>
      </c>
      <c r="U117" s="1091" t="s">
        <v>1057</v>
      </c>
      <c r="V117" s="979" t="s">
        <v>993</v>
      </c>
      <c r="W117" s="989"/>
      <c r="Y117" s="989">
        <f t="shared" si="18"/>
        <v>1080</v>
      </c>
    </row>
    <row r="118" spans="1:25" ht="45" x14ac:dyDescent="0.25">
      <c r="A118" s="994">
        <v>110</v>
      </c>
      <c r="B118" s="959" t="s">
        <v>798</v>
      </c>
      <c r="C118" s="959" t="s">
        <v>915</v>
      </c>
      <c r="D118" s="961" t="s">
        <v>909</v>
      </c>
      <c r="E118" s="960" t="s">
        <v>800</v>
      </c>
      <c r="F118" s="961" t="s">
        <v>919</v>
      </c>
      <c r="G118" s="961" t="s">
        <v>645</v>
      </c>
      <c r="H118" s="961" t="s">
        <v>731</v>
      </c>
      <c r="I118" s="1093" t="s">
        <v>802</v>
      </c>
      <c r="J118" s="996">
        <v>450</v>
      </c>
      <c r="K118" s="996">
        <v>1</v>
      </c>
      <c r="L118" s="996"/>
      <c r="M118" s="997">
        <f t="shared" si="17"/>
        <v>540</v>
      </c>
      <c r="N118" s="997">
        <f t="shared" si="20"/>
        <v>540</v>
      </c>
      <c r="O118" s="997">
        <f t="shared" si="13"/>
        <v>0</v>
      </c>
      <c r="P118" s="1094">
        <v>1</v>
      </c>
      <c r="Q118" s="997">
        <f t="shared" si="10"/>
        <v>540</v>
      </c>
      <c r="R118" s="1170">
        <v>540</v>
      </c>
      <c r="S118" s="1105" t="s">
        <v>1042</v>
      </c>
      <c r="T118" s="1102" t="s">
        <v>971</v>
      </c>
      <c r="U118" s="1091" t="s">
        <v>1057</v>
      </c>
      <c r="V118" s="979" t="s">
        <v>993</v>
      </c>
      <c r="W118" s="989"/>
      <c r="Y118" s="989">
        <f t="shared" si="18"/>
        <v>540</v>
      </c>
    </row>
    <row r="119" spans="1:25" ht="75" x14ac:dyDescent="0.25">
      <c r="A119" s="994">
        <v>111</v>
      </c>
      <c r="B119" s="959" t="s">
        <v>798</v>
      </c>
      <c r="C119" s="959" t="s">
        <v>913</v>
      </c>
      <c r="D119" s="961" t="s">
        <v>909</v>
      </c>
      <c r="E119" s="960" t="s">
        <v>800</v>
      </c>
      <c r="F119" s="961" t="s">
        <v>920</v>
      </c>
      <c r="G119" s="961" t="s">
        <v>646</v>
      </c>
      <c r="H119" s="961" t="s">
        <v>731</v>
      </c>
      <c r="I119" s="1093" t="s">
        <v>802</v>
      </c>
      <c r="J119" s="996">
        <v>450</v>
      </c>
      <c r="K119" s="996">
        <v>1</v>
      </c>
      <c r="L119" s="996"/>
      <c r="M119" s="997">
        <f t="shared" si="17"/>
        <v>540</v>
      </c>
      <c r="N119" s="997">
        <f t="shared" si="20"/>
        <v>540</v>
      </c>
      <c r="O119" s="997">
        <f t="shared" si="13"/>
        <v>0</v>
      </c>
      <c r="P119" s="1094">
        <v>1</v>
      </c>
      <c r="Q119" s="997">
        <f t="shared" si="10"/>
        <v>540</v>
      </c>
      <c r="R119" s="1170">
        <v>540</v>
      </c>
      <c r="S119" s="1105" t="s">
        <v>1042</v>
      </c>
      <c r="T119" s="1102" t="s">
        <v>971</v>
      </c>
      <c r="U119" s="1091" t="s">
        <v>1057</v>
      </c>
      <c r="V119" s="979" t="s">
        <v>993</v>
      </c>
      <c r="W119" s="989"/>
      <c r="Y119" s="989">
        <f t="shared" si="18"/>
        <v>540</v>
      </c>
    </row>
    <row r="120" spans="1:25" ht="75" x14ac:dyDescent="0.25">
      <c r="A120" s="994">
        <v>112</v>
      </c>
      <c r="B120" s="959" t="s">
        <v>798</v>
      </c>
      <c r="C120" s="959" t="s">
        <v>913</v>
      </c>
      <c r="D120" s="961" t="s">
        <v>909</v>
      </c>
      <c r="E120" s="960" t="s">
        <v>800</v>
      </c>
      <c r="F120" s="961" t="s">
        <v>921</v>
      </c>
      <c r="G120" s="961" t="s">
        <v>813</v>
      </c>
      <c r="H120" s="961" t="s">
        <v>813</v>
      </c>
      <c r="I120" s="1093" t="s">
        <v>802</v>
      </c>
      <c r="J120" s="996">
        <v>450</v>
      </c>
      <c r="K120" s="996">
        <v>5</v>
      </c>
      <c r="L120" s="996"/>
      <c r="M120" s="997">
        <f t="shared" si="17"/>
        <v>2700</v>
      </c>
      <c r="N120" s="997">
        <f t="shared" si="20"/>
        <v>2700</v>
      </c>
      <c r="O120" s="997">
        <f t="shared" si="13"/>
        <v>0</v>
      </c>
      <c r="P120" s="1094">
        <v>1</v>
      </c>
      <c r="Q120" s="997">
        <f t="shared" si="10"/>
        <v>2700</v>
      </c>
      <c r="R120" s="1170">
        <v>2700</v>
      </c>
      <c r="S120" s="1105" t="s">
        <v>1042</v>
      </c>
      <c r="T120" s="1102" t="s">
        <v>971</v>
      </c>
      <c r="U120" s="1091" t="s">
        <v>1057</v>
      </c>
      <c r="V120" s="979" t="s">
        <v>993</v>
      </c>
      <c r="W120" s="989"/>
      <c r="Y120" s="989">
        <f t="shared" si="18"/>
        <v>2700</v>
      </c>
    </row>
    <row r="121" spans="1:25" ht="60" x14ac:dyDescent="0.25">
      <c r="A121" s="994">
        <v>113</v>
      </c>
      <c r="B121" s="959" t="s">
        <v>798</v>
      </c>
      <c r="C121" s="959" t="s">
        <v>913</v>
      </c>
      <c r="D121" s="961" t="s">
        <v>909</v>
      </c>
      <c r="E121" s="960" t="s">
        <v>800</v>
      </c>
      <c r="F121" s="961" t="s">
        <v>922</v>
      </c>
      <c r="G121" s="961" t="s">
        <v>323</v>
      </c>
      <c r="H121" s="961" t="s">
        <v>323</v>
      </c>
      <c r="I121" s="1093" t="s">
        <v>802</v>
      </c>
      <c r="J121" s="996">
        <v>450</v>
      </c>
      <c r="K121" s="996">
        <v>2</v>
      </c>
      <c r="L121" s="996"/>
      <c r="M121" s="997">
        <f t="shared" si="17"/>
        <v>1080</v>
      </c>
      <c r="N121" s="997">
        <f t="shared" si="20"/>
        <v>1080</v>
      </c>
      <c r="O121" s="997">
        <f t="shared" si="13"/>
        <v>0</v>
      </c>
      <c r="P121" s="1094">
        <v>1</v>
      </c>
      <c r="Q121" s="997">
        <f t="shared" si="10"/>
        <v>1080</v>
      </c>
      <c r="R121" s="1170">
        <v>1080</v>
      </c>
      <c r="S121" s="1105" t="s">
        <v>1042</v>
      </c>
      <c r="T121" s="1102" t="s">
        <v>971</v>
      </c>
      <c r="U121" s="1091" t="s">
        <v>1057</v>
      </c>
      <c r="V121" s="979" t="s">
        <v>993</v>
      </c>
      <c r="W121" s="989"/>
      <c r="Y121" s="989">
        <f t="shared" si="18"/>
        <v>1080</v>
      </c>
    </row>
    <row r="122" spans="1:25" ht="60" x14ac:dyDescent="0.25">
      <c r="A122" s="994">
        <v>114</v>
      </c>
      <c r="B122" s="959" t="s">
        <v>798</v>
      </c>
      <c r="C122" s="959" t="s">
        <v>913</v>
      </c>
      <c r="D122" s="961" t="s">
        <v>909</v>
      </c>
      <c r="E122" s="960" t="s">
        <v>800</v>
      </c>
      <c r="F122" s="961" t="s">
        <v>923</v>
      </c>
      <c r="G122" s="961" t="s">
        <v>816</v>
      </c>
      <c r="H122" s="961" t="s">
        <v>816</v>
      </c>
      <c r="I122" s="1093" t="s">
        <v>802</v>
      </c>
      <c r="J122" s="996">
        <v>450</v>
      </c>
      <c r="K122" s="996">
        <v>2</v>
      </c>
      <c r="L122" s="996"/>
      <c r="M122" s="997">
        <f t="shared" si="17"/>
        <v>1080</v>
      </c>
      <c r="N122" s="997">
        <f t="shared" si="20"/>
        <v>1080</v>
      </c>
      <c r="O122" s="997">
        <f t="shared" si="13"/>
        <v>0</v>
      </c>
      <c r="P122" s="1094">
        <v>1</v>
      </c>
      <c r="Q122" s="997">
        <f t="shared" si="10"/>
        <v>1080</v>
      </c>
      <c r="R122" s="1170">
        <v>1080</v>
      </c>
      <c r="S122" s="1105" t="s">
        <v>1042</v>
      </c>
      <c r="T122" s="1102" t="s">
        <v>971</v>
      </c>
      <c r="U122" s="1091" t="s">
        <v>1057</v>
      </c>
      <c r="V122" s="979" t="s">
        <v>993</v>
      </c>
      <c r="W122" s="989"/>
      <c r="Y122" s="989">
        <f t="shared" si="18"/>
        <v>1080</v>
      </c>
    </row>
    <row r="123" spans="1:25" ht="75" x14ac:dyDescent="0.25">
      <c r="A123" s="994">
        <v>115</v>
      </c>
      <c r="B123" s="959" t="s">
        <v>798</v>
      </c>
      <c r="C123" s="959" t="s">
        <v>910</v>
      </c>
      <c r="D123" s="961" t="s">
        <v>909</v>
      </c>
      <c r="E123" s="960" t="s">
        <v>800</v>
      </c>
      <c r="F123" s="961" t="s">
        <v>924</v>
      </c>
      <c r="G123" s="961" t="s">
        <v>818</v>
      </c>
      <c r="H123" s="961" t="s">
        <v>731</v>
      </c>
      <c r="I123" s="1093" t="s">
        <v>802</v>
      </c>
      <c r="J123" s="996">
        <v>450</v>
      </c>
      <c r="K123" s="996">
        <v>8</v>
      </c>
      <c r="L123" s="996"/>
      <c r="M123" s="997">
        <f t="shared" si="17"/>
        <v>4320</v>
      </c>
      <c r="N123" s="997">
        <f t="shared" si="20"/>
        <v>4320</v>
      </c>
      <c r="O123" s="997">
        <f t="shared" si="13"/>
        <v>0</v>
      </c>
      <c r="P123" s="1094">
        <v>1</v>
      </c>
      <c r="Q123" s="997">
        <f t="shared" si="10"/>
        <v>4320</v>
      </c>
      <c r="R123" s="1170">
        <v>4320</v>
      </c>
      <c r="S123" s="1105" t="s">
        <v>1042</v>
      </c>
      <c r="T123" s="1102" t="s">
        <v>971</v>
      </c>
      <c r="U123" s="1091" t="s">
        <v>1057</v>
      </c>
      <c r="V123" s="979" t="s">
        <v>993</v>
      </c>
      <c r="W123" s="989"/>
      <c r="Y123" s="989">
        <f t="shared" si="18"/>
        <v>4320</v>
      </c>
    </row>
    <row r="124" spans="1:25" ht="45" x14ac:dyDescent="0.25">
      <c r="A124" s="994">
        <v>116</v>
      </c>
      <c r="B124" s="959" t="s">
        <v>798</v>
      </c>
      <c r="C124" s="959" t="s">
        <v>913</v>
      </c>
      <c r="D124" s="961" t="s">
        <v>909</v>
      </c>
      <c r="E124" s="960" t="s">
        <v>800</v>
      </c>
      <c r="F124" s="961" t="s">
        <v>925</v>
      </c>
      <c r="G124" s="961" t="s">
        <v>820</v>
      </c>
      <c r="H124" s="961" t="s">
        <v>731</v>
      </c>
      <c r="I124" s="1093" t="s">
        <v>802</v>
      </c>
      <c r="J124" s="996">
        <v>450</v>
      </c>
      <c r="K124" s="996">
        <v>5</v>
      </c>
      <c r="L124" s="996"/>
      <c r="M124" s="997">
        <f t="shared" si="17"/>
        <v>2700</v>
      </c>
      <c r="N124" s="997">
        <f t="shared" si="20"/>
        <v>2700</v>
      </c>
      <c r="O124" s="997">
        <f t="shared" si="13"/>
        <v>0</v>
      </c>
      <c r="P124" s="1094">
        <v>1</v>
      </c>
      <c r="Q124" s="997">
        <f t="shared" si="10"/>
        <v>2700</v>
      </c>
      <c r="R124" s="1170">
        <v>2700</v>
      </c>
      <c r="S124" s="1105" t="s">
        <v>1042</v>
      </c>
      <c r="T124" s="1102" t="s">
        <v>971</v>
      </c>
      <c r="U124" s="1091" t="s">
        <v>1057</v>
      </c>
      <c r="V124" s="979" t="s">
        <v>993</v>
      </c>
      <c r="W124" s="989"/>
      <c r="Y124" s="989">
        <f t="shared" si="18"/>
        <v>2700</v>
      </c>
    </row>
    <row r="125" spans="1:25" ht="45" x14ac:dyDescent="0.25">
      <c r="A125" s="958">
        <v>117</v>
      </c>
      <c r="B125" s="959" t="s">
        <v>798</v>
      </c>
      <c r="C125" s="959" t="s">
        <v>910</v>
      </c>
      <c r="D125" s="961" t="s">
        <v>909</v>
      </c>
      <c r="E125" s="960" t="s">
        <v>928</v>
      </c>
      <c r="F125" s="961" t="s">
        <v>926</v>
      </c>
      <c r="G125" s="961" t="s">
        <v>818</v>
      </c>
      <c r="H125" s="961" t="s">
        <v>731</v>
      </c>
      <c r="I125" s="1097" t="s">
        <v>802</v>
      </c>
      <c r="J125" s="1098">
        <v>400</v>
      </c>
      <c r="K125" s="1098">
        <v>32</v>
      </c>
      <c r="L125" s="996"/>
      <c r="M125" s="1095">
        <f t="shared" si="17"/>
        <v>15360</v>
      </c>
      <c r="N125" s="1095">
        <f t="shared" si="20"/>
        <v>15360</v>
      </c>
      <c r="O125" s="1095">
        <f t="shared" si="13"/>
        <v>0</v>
      </c>
      <c r="P125" s="1099">
        <v>1</v>
      </c>
      <c r="Q125" s="1095">
        <f t="shared" si="10"/>
        <v>15360</v>
      </c>
      <c r="R125" s="1170">
        <v>15360</v>
      </c>
      <c r="S125" s="1105" t="s">
        <v>1042</v>
      </c>
      <c r="T125" s="1103" t="s">
        <v>971</v>
      </c>
      <c r="U125" s="1092" t="s">
        <v>1074</v>
      </c>
      <c r="V125" s="979" t="s">
        <v>993</v>
      </c>
      <c r="W125" s="989"/>
      <c r="Y125" s="989">
        <f t="shared" si="18"/>
        <v>15360</v>
      </c>
    </row>
    <row r="126" spans="1:25" ht="306" x14ac:dyDescent="0.25">
      <c r="A126" s="958">
        <v>118</v>
      </c>
      <c r="B126" s="959" t="s">
        <v>798</v>
      </c>
      <c r="C126" s="959" t="s">
        <v>978</v>
      </c>
      <c r="D126" s="961" t="s">
        <v>909</v>
      </c>
      <c r="E126" s="960" t="s">
        <v>928</v>
      </c>
      <c r="F126" s="961" t="s">
        <v>953</v>
      </c>
      <c r="G126" s="961"/>
      <c r="H126" s="961" t="s">
        <v>731</v>
      </c>
      <c r="I126" s="1097" t="s">
        <v>954</v>
      </c>
      <c r="J126" s="1158">
        <f>24.29</f>
        <v>24.29</v>
      </c>
      <c r="K126" s="1098">
        <f>160*1</f>
        <v>160</v>
      </c>
      <c r="L126" s="996"/>
      <c r="M126" s="1095">
        <f t="shared" ref="M126:M132" si="21">ROUND(J126*K126*1,2)</f>
        <v>3886.4</v>
      </c>
      <c r="N126" s="1095">
        <f t="shared" si="20"/>
        <v>3886.4</v>
      </c>
      <c r="O126" s="1095">
        <f t="shared" si="13"/>
        <v>0</v>
      </c>
      <c r="P126" s="1099">
        <v>1</v>
      </c>
      <c r="Q126" s="1095">
        <f t="shared" si="10"/>
        <v>3886.4</v>
      </c>
      <c r="R126" s="1170">
        <v>8646.42</v>
      </c>
      <c r="S126" s="1105"/>
      <c r="T126" s="1103" t="s">
        <v>955</v>
      </c>
      <c r="U126" s="1092" t="s">
        <v>1075</v>
      </c>
      <c r="V126" s="979" t="s">
        <v>993</v>
      </c>
      <c r="W126" s="989"/>
      <c r="Y126" s="989">
        <f t="shared" si="18"/>
        <v>8646.42</v>
      </c>
    </row>
    <row r="127" spans="1:25" ht="89.25" x14ac:dyDescent="0.25">
      <c r="A127" s="958">
        <v>119</v>
      </c>
      <c r="B127" s="959" t="s">
        <v>798</v>
      </c>
      <c r="C127" s="959" t="s">
        <v>978</v>
      </c>
      <c r="D127" s="961" t="s">
        <v>909</v>
      </c>
      <c r="E127" s="960" t="s">
        <v>928</v>
      </c>
      <c r="F127" s="961" t="s">
        <v>957</v>
      </c>
      <c r="G127" s="961"/>
      <c r="H127" s="961" t="s">
        <v>731</v>
      </c>
      <c r="I127" s="1097" t="s">
        <v>954</v>
      </c>
      <c r="J127" s="1158">
        <f>24.29</f>
        <v>24.29</v>
      </c>
      <c r="K127" s="1098">
        <f>ROUND(28.8*12,)</f>
        <v>346</v>
      </c>
      <c r="L127" s="996"/>
      <c r="M127" s="1095">
        <f t="shared" si="21"/>
        <v>8404.34</v>
      </c>
      <c r="N127" s="1095">
        <f t="shared" si="20"/>
        <v>8404.34</v>
      </c>
      <c r="O127" s="1095">
        <f t="shared" si="13"/>
        <v>0</v>
      </c>
      <c r="P127" s="1099">
        <v>1</v>
      </c>
      <c r="Q127" s="1095">
        <f t="shared" si="10"/>
        <v>8404.34</v>
      </c>
      <c r="R127" s="1170">
        <v>0</v>
      </c>
      <c r="S127" s="1105"/>
      <c r="T127" s="1103" t="s">
        <v>955</v>
      </c>
      <c r="U127" s="1092" t="s">
        <v>1076</v>
      </c>
      <c r="V127" s="979" t="s">
        <v>993</v>
      </c>
      <c r="W127" s="989"/>
      <c r="Y127" s="989">
        <f t="shared" si="18"/>
        <v>0</v>
      </c>
    </row>
    <row r="128" spans="1:25" ht="140.25" x14ac:dyDescent="0.25">
      <c r="A128" s="958">
        <v>120</v>
      </c>
      <c r="B128" s="959" t="s">
        <v>798</v>
      </c>
      <c r="C128" s="959" t="s">
        <v>978</v>
      </c>
      <c r="D128" s="961" t="s">
        <v>909</v>
      </c>
      <c r="E128" s="960" t="s">
        <v>928</v>
      </c>
      <c r="F128" s="961" t="s">
        <v>958</v>
      </c>
      <c r="G128" s="961"/>
      <c r="H128" s="961" t="s">
        <v>731</v>
      </c>
      <c r="I128" s="1097" t="s">
        <v>954</v>
      </c>
      <c r="J128" s="1158">
        <f>40.48</f>
        <v>40.479999999999997</v>
      </c>
      <c r="K128" s="1098">
        <f>ROUND(29.2*1,)</f>
        <v>29</v>
      </c>
      <c r="L128" s="996"/>
      <c r="M128" s="1095">
        <f t="shared" si="21"/>
        <v>1173.92</v>
      </c>
      <c r="N128" s="1095">
        <f t="shared" si="20"/>
        <v>1173.92</v>
      </c>
      <c r="O128" s="1095">
        <f t="shared" si="13"/>
        <v>0</v>
      </c>
      <c r="P128" s="1099">
        <v>1</v>
      </c>
      <c r="Q128" s="1095">
        <f t="shared" si="10"/>
        <v>1173.92</v>
      </c>
      <c r="R128" s="1170">
        <v>7817.11</v>
      </c>
      <c r="S128" s="1105"/>
      <c r="T128" s="1103" t="s">
        <v>955</v>
      </c>
      <c r="U128" s="1092" t="s">
        <v>1077</v>
      </c>
      <c r="V128" s="979" t="s">
        <v>993</v>
      </c>
      <c r="W128" s="989"/>
      <c r="Y128" s="989">
        <f t="shared" si="18"/>
        <v>7817.11</v>
      </c>
    </row>
    <row r="129" spans="1:25" ht="89.25" x14ac:dyDescent="0.25">
      <c r="A129" s="958">
        <v>121</v>
      </c>
      <c r="B129" s="959" t="s">
        <v>798</v>
      </c>
      <c r="C129" s="959" t="s">
        <v>978</v>
      </c>
      <c r="D129" s="961" t="s">
        <v>909</v>
      </c>
      <c r="E129" s="960" t="s">
        <v>928</v>
      </c>
      <c r="F129" s="961" t="s">
        <v>960</v>
      </c>
      <c r="G129" s="961"/>
      <c r="H129" s="961" t="s">
        <v>731</v>
      </c>
      <c r="I129" s="1097" t="s">
        <v>954</v>
      </c>
      <c r="J129" s="1158">
        <v>28.8</v>
      </c>
      <c r="K129" s="1098">
        <f>ROUND(28.8*1*24,)</f>
        <v>691</v>
      </c>
      <c r="L129" s="996"/>
      <c r="M129" s="1095">
        <f t="shared" si="21"/>
        <v>19900.8</v>
      </c>
      <c r="N129" s="1095">
        <f t="shared" si="20"/>
        <v>19900.8</v>
      </c>
      <c r="O129" s="1095">
        <f t="shared" si="13"/>
        <v>0</v>
      </c>
      <c r="P129" s="1099">
        <v>1</v>
      </c>
      <c r="Q129" s="1095">
        <f t="shared" si="10"/>
        <v>19900.8</v>
      </c>
      <c r="R129" s="1170">
        <v>0</v>
      </c>
      <c r="S129" s="1105"/>
      <c r="T129" s="1103" t="s">
        <v>955</v>
      </c>
      <c r="U129" s="1092" t="s">
        <v>1078</v>
      </c>
      <c r="V129" s="979" t="s">
        <v>993</v>
      </c>
      <c r="W129" s="989"/>
      <c r="Y129" s="989">
        <f t="shared" si="18"/>
        <v>0</v>
      </c>
    </row>
    <row r="130" spans="1:25" ht="89.25" x14ac:dyDescent="0.25">
      <c r="A130" s="958">
        <v>122</v>
      </c>
      <c r="B130" s="959" t="s">
        <v>798</v>
      </c>
      <c r="C130" s="959" t="s">
        <v>978</v>
      </c>
      <c r="D130" s="961" t="s">
        <v>909</v>
      </c>
      <c r="E130" s="960" t="s">
        <v>928</v>
      </c>
      <c r="F130" s="961" t="s">
        <v>961</v>
      </c>
      <c r="G130" s="961"/>
      <c r="H130" s="961" t="s">
        <v>731</v>
      </c>
      <c r="I130" s="1097" t="s">
        <v>954</v>
      </c>
      <c r="J130" s="1158">
        <f>24.29</f>
        <v>24.29</v>
      </c>
      <c r="K130" s="1098">
        <f>48*1</f>
        <v>48</v>
      </c>
      <c r="L130" s="996"/>
      <c r="M130" s="1095">
        <f t="shared" si="21"/>
        <v>1165.92</v>
      </c>
      <c r="N130" s="1095">
        <f t="shared" si="20"/>
        <v>1165.92</v>
      </c>
      <c r="O130" s="1095">
        <f t="shared" si="13"/>
        <v>0</v>
      </c>
      <c r="P130" s="1099">
        <v>1</v>
      </c>
      <c r="Q130" s="1095">
        <f t="shared" si="10"/>
        <v>1165.92</v>
      </c>
      <c r="R130" s="1170">
        <v>0</v>
      </c>
      <c r="S130" s="1105"/>
      <c r="T130" s="1103" t="s">
        <v>955</v>
      </c>
      <c r="U130" s="1092" t="s">
        <v>1079</v>
      </c>
      <c r="V130" s="979" t="s">
        <v>993</v>
      </c>
      <c r="W130" s="989"/>
      <c r="Y130" s="989">
        <f t="shared" si="18"/>
        <v>0</v>
      </c>
    </row>
    <row r="131" spans="1:25" ht="89.25" x14ac:dyDescent="0.25">
      <c r="A131" s="958">
        <v>123</v>
      </c>
      <c r="B131" s="959" t="s">
        <v>798</v>
      </c>
      <c r="C131" s="959" t="s">
        <v>978</v>
      </c>
      <c r="D131" s="961" t="s">
        <v>909</v>
      </c>
      <c r="E131" s="960" t="s">
        <v>928</v>
      </c>
      <c r="F131" s="961" t="s">
        <v>963</v>
      </c>
      <c r="G131" s="961"/>
      <c r="H131" s="961" t="s">
        <v>731</v>
      </c>
      <c r="I131" s="1097" t="s">
        <v>954</v>
      </c>
      <c r="J131" s="1158">
        <f>24.29</f>
        <v>24.29</v>
      </c>
      <c r="K131" s="1098">
        <f>48*1</f>
        <v>48</v>
      </c>
      <c r="L131" s="996"/>
      <c r="M131" s="1095">
        <f t="shared" si="21"/>
        <v>1165.92</v>
      </c>
      <c r="N131" s="1095">
        <f t="shared" si="20"/>
        <v>1165.92</v>
      </c>
      <c r="O131" s="1095">
        <f t="shared" si="13"/>
        <v>0</v>
      </c>
      <c r="P131" s="1099">
        <v>1</v>
      </c>
      <c r="Q131" s="1095">
        <f t="shared" si="10"/>
        <v>1165.92</v>
      </c>
      <c r="R131" s="1170">
        <v>0</v>
      </c>
      <c r="S131" s="1105"/>
      <c r="T131" s="1103" t="s">
        <v>955</v>
      </c>
      <c r="U131" s="1092" t="s">
        <v>1080</v>
      </c>
      <c r="V131" s="979" t="s">
        <v>993</v>
      </c>
      <c r="W131" s="989"/>
      <c r="Y131" s="989">
        <f t="shared" si="18"/>
        <v>0</v>
      </c>
    </row>
    <row r="132" spans="1:25" ht="140.25" x14ac:dyDescent="0.25">
      <c r="A132" s="958">
        <v>124</v>
      </c>
      <c r="B132" s="959" t="s">
        <v>798</v>
      </c>
      <c r="C132" s="959" t="s">
        <v>978</v>
      </c>
      <c r="D132" s="961" t="s">
        <v>909</v>
      </c>
      <c r="E132" s="960" t="s">
        <v>928</v>
      </c>
      <c r="F132" s="961" t="s">
        <v>975</v>
      </c>
      <c r="G132" s="961"/>
      <c r="H132" s="961" t="s">
        <v>731</v>
      </c>
      <c r="I132" s="1097" t="s">
        <v>954</v>
      </c>
      <c r="J132" s="1158">
        <f>40.48</f>
        <v>40.479999999999997</v>
      </c>
      <c r="K132" s="1098">
        <f>ROUND(29.2*1,)</f>
        <v>29</v>
      </c>
      <c r="L132" s="996"/>
      <c r="M132" s="1095">
        <f t="shared" si="21"/>
        <v>1173.92</v>
      </c>
      <c r="N132" s="1095">
        <f t="shared" si="20"/>
        <v>1173.92</v>
      </c>
      <c r="O132" s="1095">
        <f t="shared" si="13"/>
        <v>0</v>
      </c>
      <c r="P132" s="1099">
        <v>1</v>
      </c>
      <c r="Q132" s="1095">
        <f t="shared" si="10"/>
        <v>1173.92</v>
      </c>
      <c r="R132" s="1170">
        <v>4231.3900000000003</v>
      </c>
      <c r="S132" s="1105"/>
      <c r="T132" s="1103" t="s">
        <v>955</v>
      </c>
      <c r="U132" s="1092" t="s">
        <v>1081</v>
      </c>
      <c r="V132" s="979" t="s">
        <v>993</v>
      </c>
      <c r="W132" s="989"/>
      <c r="Y132" s="989">
        <f t="shared" si="18"/>
        <v>4231.3900000000003</v>
      </c>
    </row>
    <row r="133" spans="1:25" x14ac:dyDescent="0.25">
      <c r="A133" s="977" t="s">
        <v>265</v>
      </c>
      <c r="B133" s="980"/>
      <c r="C133" s="980"/>
      <c r="D133" s="978"/>
      <c r="E133" s="980"/>
      <c r="F133" s="980"/>
      <c r="G133" s="980"/>
      <c r="H133" s="980"/>
      <c r="I133" s="980"/>
      <c r="J133" s="1159"/>
      <c r="K133" s="980"/>
      <c r="L133" s="980"/>
      <c r="M133" s="1160"/>
      <c r="N133" s="1160"/>
      <c r="O133" s="1160"/>
      <c r="P133" s="1161"/>
      <c r="Q133" s="1160"/>
      <c r="R133" s="1170"/>
      <c r="S133" s="1162"/>
      <c r="T133" s="1163"/>
      <c r="U133" s="978"/>
      <c r="V133" s="980"/>
      <c r="W133" s="990"/>
      <c r="X133" s="990"/>
      <c r="Y133" s="990"/>
    </row>
    <row r="134" spans="1:25" ht="89.25" x14ac:dyDescent="0.25">
      <c r="A134" s="958">
        <v>125</v>
      </c>
      <c r="B134" s="959" t="s">
        <v>927</v>
      </c>
      <c r="C134" s="959" t="s">
        <v>265</v>
      </c>
      <c r="D134" s="961" t="s">
        <v>265</v>
      </c>
      <c r="E134" s="960" t="s">
        <v>928</v>
      </c>
      <c r="F134" s="961" t="s">
        <v>929</v>
      </c>
      <c r="G134" s="961"/>
      <c r="H134" s="961" t="s">
        <v>731</v>
      </c>
      <c r="I134" s="1097" t="s">
        <v>802</v>
      </c>
      <c r="J134" s="1098">
        <f>24.291</f>
        <v>24.291</v>
      </c>
      <c r="K134" s="1098">
        <f>160*24</f>
        <v>3840</v>
      </c>
      <c r="L134" s="996"/>
      <c r="M134" s="1095">
        <f t="shared" ref="M134:M139" si="22">ROUND(J134*K134,2)</f>
        <v>93277.440000000002</v>
      </c>
      <c r="N134" s="1095">
        <f>M134</f>
        <v>93277.440000000002</v>
      </c>
      <c r="O134" s="1095">
        <f t="shared" si="13"/>
        <v>0</v>
      </c>
      <c r="P134" s="1099">
        <v>1</v>
      </c>
      <c r="Q134" s="1095">
        <f t="shared" si="10"/>
        <v>93277.440000000002</v>
      </c>
      <c r="R134" s="1170">
        <v>91021.43</v>
      </c>
      <c r="S134" s="1105"/>
      <c r="T134" s="1103" t="s">
        <v>955</v>
      </c>
      <c r="U134" s="1092" t="s">
        <v>1082</v>
      </c>
      <c r="V134" s="979" t="s">
        <v>993</v>
      </c>
      <c r="W134" s="989">
        <f t="shared" ref="W134:W139" si="23">R134/2.5*1</f>
        <v>36408.572</v>
      </c>
      <c r="X134" s="989">
        <f t="shared" ref="X134:X139" si="24">R134/2.5</f>
        <v>36408.572</v>
      </c>
      <c r="Y134" s="989">
        <f t="shared" ref="Y134:Y139" si="25">R134/2.5*0.5</f>
        <v>18204.286</v>
      </c>
    </row>
    <row r="135" spans="1:25" ht="102" x14ac:dyDescent="0.25">
      <c r="A135" s="958">
        <v>126</v>
      </c>
      <c r="B135" s="959" t="s">
        <v>927</v>
      </c>
      <c r="C135" s="959" t="s">
        <v>265</v>
      </c>
      <c r="D135" s="961" t="s">
        <v>265</v>
      </c>
      <c r="E135" s="960" t="s">
        <v>928</v>
      </c>
      <c r="F135" s="961" t="s">
        <v>979</v>
      </c>
      <c r="G135" s="961"/>
      <c r="H135" s="961" t="s">
        <v>731</v>
      </c>
      <c r="I135" s="1097" t="s">
        <v>954</v>
      </c>
      <c r="J135" s="1098">
        <f>24.291</f>
        <v>24.291</v>
      </c>
      <c r="K135" s="1098">
        <f>CEILING(29.16*24,2)</f>
        <v>700</v>
      </c>
      <c r="L135" s="996"/>
      <c r="M135" s="1095">
        <f t="shared" si="22"/>
        <v>17003.7</v>
      </c>
      <c r="N135" s="1095">
        <f t="shared" ref="N135:N144" si="26">M135</f>
        <v>17003.7</v>
      </c>
      <c r="O135" s="1095">
        <f t="shared" si="13"/>
        <v>0</v>
      </c>
      <c r="P135" s="1099">
        <v>1</v>
      </c>
      <c r="Q135" s="1095">
        <f t="shared" si="10"/>
        <v>17003.7</v>
      </c>
      <c r="R135" s="1170">
        <v>18131.650000000001</v>
      </c>
      <c r="S135" s="1105"/>
      <c r="T135" s="1103" t="s">
        <v>955</v>
      </c>
      <c r="U135" s="1092" t="s">
        <v>980</v>
      </c>
      <c r="V135" s="979" t="s">
        <v>993</v>
      </c>
      <c r="W135" s="989">
        <f t="shared" si="23"/>
        <v>7252.6600000000008</v>
      </c>
      <c r="X135" s="989">
        <f t="shared" si="24"/>
        <v>7252.6600000000008</v>
      </c>
      <c r="Y135" s="989">
        <f t="shared" si="25"/>
        <v>3626.3300000000004</v>
      </c>
    </row>
    <row r="136" spans="1:25" ht="114.75" x14ac:dyDescent="0.25">
      <c r="A136" s="958">
        <v>127</v>
      </c>
      <c r="B136" s="959" t="s">
        <v>927</v>
      </c>
      <c r="C136" s="959" t="s">
        <v>265</v>
      </c>
      <c r="D136" s="961" t="s">
        <v>265</v>
      </c>
      <c r="E136" s="960" t="s">
        <v>928</v>
      </c>
      <c r="F136" s="961" t="s">
        <v>930</v>
      </c>
      <c r="G136" s="961"/>
      <c r="H136" s="961" t="s">
        <v>731</v>
      </c>
      <c r="I136" s="1097" t="s">
        <v>954</v>
      </c>
      <c r="J136" s="1098">
        <f>21.05</f>
        <v>21.05</v>
      </c>
      <c r="K136" s="1098">
        <f>64*24</f>
        <v>1536</v>
      </c>
      <c r="L136" s="996"/>
      <c r="M136" s="1095">
        <f t="shared" si="22"/>
        <v>32332.799999999999</v>
      </c>
      <c r="N136" s="1095">
        <f t="shared" si="26"/>
        <v>32332.799999999999</v>
      </c>
      <c r="O136" s="1095">
        <f t="shared" si="13"/>
        <v>0</v>
      </c>
      <c r="P136" s="1099">
        <v>1</v>
      </c>
      <c r="Q136" s="1095">
        <f t="shared" si="10"/>
        <v>32332.799999999999</v>
      </c>
      <c r="R136" s="1170">
        <v>27622.39</v>
      </c>
      <c r="S136" s="1105"/>
      <c r="T136" s="1103" t="s">
        <v>955</v>
      </c>
      <c r="U136" s="1092" t="s">
        <v>1083</v>
      </c>
      <c r="V136" s="979" t="s">
        <v>993</v>
      </c>
      <c r="W136" s="989">
        <f t="shared" si="23"/>
        <v>11048.956</v>
      </c>
      <c r="X136" s="989">
        <f t="shared" si="24"/>
        <v>11048.956</v>
      </c>
      <c r="Y136" s="989">
        <f t="shared" si="25"/>
        <v>5524.4780000000001</v>
      </c>
    </row>
    <row r="137" spans="1:25" ht="102" x14ac:dyDescent="0.25">
      <c r="A137" s="958">
        <v>128</v>
      </c>
      <c r="B137" s="959" t="s">
        <v>927</v>
      </c>
      <c r="C137" s="959" t="s">
        <v>265</v>
      </c>
      <c r="D137" s="961" t="s">
        <v>265</v>
      </c>
      <c r="E137" s="960" t="s">
        <v>928</v>
      </c>
      <c r="F137" s="961" t="s">
        <v>981</v>
      </c>
      <c r="G137" s="961"/>
      <c r="H137" s="961" t="s">
        <v>731</v>
      </c>
      <c r="I137" s="1097" t="s">
        <v>954</v>
      </c>
      <c r="J137" s="1098">
        <f>19.43</f>
        <v>19.43</v>
      </c>
      <c r="K137" s="1098">
        <f>16*24</f>
        <v>384</v>
      </c>
      <c r="L137" s="996"/>
      <c r="M137" s="1095">
        <f t="shared" si="22"/>
        <v>7461.12</v>
      </c>
      <c r="N137" s="1095">
        <f t="shared" si="26"/>
        <v>7461.12</v>
      </c>
      <c r="O137" s="1095">
        <f t="shared" si="13"/>
        <v>0</v>
      </c>
      <c r="P137" s="1099">
        <v>1</v>
      </c>
      <c r="Q137" s="1095">
        <f t="shared" si="10"/>
        <v>7461.12</v>
      </c>
      <c r="R137" s="1170">
        <v>4990.9799999999996</v>
      </c>
      <c r="S137" s="1105"/>
      <c r="T137" s="1103" t="s">
        <v>955</v>
      </c>
      <c r="U137" s="1092" t="s">
        <v>1084</v>
      </c>
      <c r="V137" s="979" t="s">
        <v>993</v>
      </c>
      <c r="W137" s="989">
        <f t="shared" si="23"/>
        <v>1996.3919999999998</v>
      </c>
      <c r="X137" s="989">
        <f t="shared" si="24"/>
        <v>1996.3919999999998</v>
      </c>
      <c r="Y137" s="989">
        <f t="shared" si="25"/>
        <v>998.19599999999991</v>
      </c>
    </row>
    <row r="138" spans="1:25" ht="102" x14ac:dyDescent="0.25">
      <c r="A138" s="958">
        <v>129</v>
      </c>
      <c r="B138" s="959" t="s">
        <v>927</v>
      </c>
      <c r="C138" s="959" t="s">
        <v>265</v>
      </c>
      <c r="D138" s="961" t="s">
        <v>265</v>
      </c>
      <c r="E138" s="960" t="s">
        <v>928</v>
      </c>
      <c r="F138" s="961" t="s">
        <v>982</v>
      </c>
      <c r="G138" s="961"/>
      <c r="H138" s="961" t="s">
        <v>731</v>
      </c>
      <c r="I138" s="1097" t="s">
        <v>954</v>
      </c>
      <c r="J138" s="1098">
        <f>19.43</f>
        <v>19.43</v>
      </c>
      <c r="K138" s="1098">
        <f>16*24</f>
        <v>384</v>
      </c>
      <c r="L138" s="996"/>
      <c r="M138" s="1095">
        <f t="shared" si="22"/>
        <v>7461.12</v>
      </c>
      <c r="N138" s="1095">
        <f t="shared" si="26"/>
        <v>7461.12</v>
      </c>
      <c r="O138" s="1095">
        <f t="shared" si="13"/>
        <v>0</v>
      </c>
      <c r="P138" s="1099">
        <v>1</v>
      </c>
      <c r="Q138" s="1095">
        <f t="shared" ref="Q138:Q144" si="27">P138*N138</f>
        <v>7461.12</v>
      </c>
      <c r="R138" s="1170">
        <v>3642.41</v>
      </c>
      <c r="S138" s="1105"/>
      <c r="T138" s="1103" t="s">
        <v>955</v>
      </c>
      <c r="U138" s="1092" t="s">
        <v>1084</v>
      </c>
      <c r="V138" s="979" t="s">
        <v>993</v>
      </c>
      <c r="W138" s="989">
        <f t="shared" si="23"/>
        <v>1456.9639999999999</v>
      </c>
      <c r="X138" s="989">
        <f t="shared" si="24"/>
        <v>1456.9639999999999</v>
      </c>
      <c r="Y138" s="989">
        <f t="shared" si="25"/>
        <v>728.48199999999997</v>
      </c>
    </row>
    <row r="139" spans="1:25" ht="102" x14ac:dyDescent="0.25">
      <c r="A139" s="958">
        <v>130</v>
      </c>
      <c r="B139" s="959" t="s">
        <v>927</v>
      </c>
      <c r="C139" s="959" t="s">
        <v>265</v>
      </c>
      <c r="D139" s="961" t="s">
        <v>265</v>
      </c>
      <c r="E139" s="960" t="s">
        <v>928</v>
      </c>
      <c r="F139" s="961" t="s">
        <v>931</v>
      </c>
      <c r="G139" s="961"/>
      <c r="H139" s="961" t="s">
        <v>731</v>
      </c>
      <c r="I139" s="1097" t="s">
        <v>802</v>
      </c>
      <c r="J139" s="1098">
        <v>22.67</v>
      </c>
      <c r="K139" s="1098">
        <f>68*8</f>
        <v>544</v>
      </c>
      <c r="L139" s="996"/>
      <c r="M139" s="1095">
        <f t="shared" si="22"/>
        <v>12332.48</v>
      </c>
      <c r="N139" s="1095">
        <f t="shared" si="26"/>
        <v>12332.48</v>
      </c>
      <c r="O139" s="1095">
        <f t="shared" si="13"/>
        <v>0</v>
      </c>
      <c r="P139" s="1099">
        <v>1</v>
      </c>
      <c r="Q139" s="1095">
        <f t="shared" si="27"/>
        <v>12332.48</v>
      </c>
      <c r="R139" s="1170">
        <v>7525.92</v>
      </c>
      <c r="S139" s="1105"/>
      <c r="T139" s="1103" t="s">
        <v>955</v>
      </c>
      <c r="U139" s="1092" t="s">
        <v>1085</v>
      </c>
      <c r="V139" s="979" t="s">
        <v>993</v>
      </c>
      <c r="W139" s="989">
        <f t="shared" si="23"/>
        <v>3010.3679999999999</v>
      </c>
      <c r="X139" s="989">
        <f t="shared" si="24"/>
        <v>3010.3679999999999</v>
      </c>
      <c r="Y139" s="989">
        <f t="shared" si="25"/>
        <v>1505.184</v>
      </c>
    </row>
    <row r="140" spans="1:25" ht="45" x14ac:dyDescent="0.25">
      <c r="A140" s="958">
        <v>131</v>
      </c>
      <c r="B140" s="959" t="s">
        <v>927</v>
      </c>
      <c r="C140" s="959" t="s">
        <v>265</v>
      </c>
      <c r="D140" s="961" t="s">
        <v>265</v>
      </c>
      <c r="E140" s="960" t="s">
        <v>994</v>
      </c>
      <c r="F140" s="961" t="s">
        <v>933</v>
      </c>
      <c r="G140" s="961"/>
      <c r="H140" s="961" t="s">
        <v>731</v>
      </c>
      <c r="I140" s="1097" t="s">
        <v>277</v>
      </c>
      <c r="J140" s="1098">
        <v>1416.67</v>
      </c>
      <c r="K140" s="1098">
        <v>7</v>
      </c>
      <c r="L140" s="996"/>
      <c r="M140" s="1095">
        <f>ROUND(J140*K140*1.2,)</f>
        <v>11900</v>
      </c>
      <c r="N140" s="1095">
        <f t="shared" si="26"/>
        <v>11900</v>
      </c>
      <c r="O140" s="1095">
        <f t="shared" si="13"/>
        <v>0</v>
      </c>
      <c r="P140" s="1099">
        <v>1</v>
      </c>
      <c r="Q140" s="1095">
        <f t="shared" si="27"/>
        <v>11900</v>
      </c>
      <c r="R140" s="1170"/>
      <c r="S140" s="1105"/>
      <c r="T140" s="1103" t="s">
        <v>955</v>
      </c>
      <c r="U140" s="1092" t="s">
        <v>1086</v>
      </c>
      <c r="V140" s="979" t="s">
        <v>993</v>
      </c>
      <c r="W140" s="989">
        <f>R140</f>
        <v>0</v>
      </c>
      <c r="X140" s="989"/>
      <c r="Y140" s="989"/>
    </row>
    <row r="141" spans="1:25" ht="30" x14ac:dyDescent="0.25">
      <c r="A141" s="958">
        <v>132</v>
      </c>
      <c r="B141" s="959" t="s">
        <v>927</v>
      </c>
      <c r="C141" s="959" t="s">
        <v>265</v>
      </c>
      <c r="D141" s="961" t="s">
        <v>265</v>
      </c>
      <c r="E141" s="960" t="s">
        <v>932</v>
      </c>
      <c r="F141" s="961" t="s">
        <v>934</v>
      </c>
      <c r="G141" s="961"/>
      <c r="H141" s="961" t="s">
        <v>731</v>
      </c>
      <c r="I141" s="1097" t="s">
        <v>277</v>
      </c>
      <c r="J141" s="1098">
        <v>1191.9100000000001</v>
      </c>
      <c r="K141" s="1098">
        <v>1</v>
      </c>
      <c r="L141" s="996"/>
      <c r="M141" s="1095">
        <f>ROUND(J141*K141*1.2,2)</f>
        <v>1430.29</v>
      </c>
      <c r="N141" s="1095">
        <f t="shared" si="26"/>
        <v>1430.29</v>
      </c>
      <c r="O141" s="1095">
        <f t="shared" si="13"/>
        <v>0</v>
      </c>
      <c r="P141" s="1099">
        <v>1</v>
      </c>
      <c r="Q141" s="1095">
        <f t="shared" si="27"/>
        <v>1430.29</v>
      </c>
      <c r="R141" s="1170"/>
      <c r="S141" s="1105"/>
      <c r="T141" s="1103" t="s">
        <v>955</v>
      </c>
      <c r="U141" s="1092" t="s">
        <v>1087</v>
      </c>
      <c r="V141" s="979" t="s">
        <v>993</v>
      </c>
      <c r="W141" s="989">
        <f>R141</f>
        <v>0</v>
      </c>
      <c r="X141" s="989"/>
      <c r="Y141" s="989"/>
    </row>
    <row r="142" spans="1:25" ht="45" x14ac:dyDescent="0.25">
      <c r="A142" s="958">
        <v>133</v>
      </c>
      <c r="B142" s="959" t="s">
        <v>927</v>
      </c>
      <c r="C142" s="959" t="s">
        <v>265</v>
      </c>
      <c r="D142" s="961" t="s">
        <v>265</v>
      </c>
      <c r="E142" s="960" t="s">
        <v>994</v>
      </c>
      <c r="F142" s="961" t="s">
        <v>935</v>
      </c>
      <c r="G142" s="961"/>
      <c r="H142" s="961" t="s">
        <v>731</v>
      </c>
      <c r="I142" s="1097" t="s">
        <v>277</v>
      </c>
      <c r="J142" s="1098">
        <v>1416.67</v>
      </c>
      <c r="K142" s="1098">
        <v>1</v>
      </c>
      <c r="L142" s="996"/>
      <c r="M142" s="1095">
        <f>ROUND(J142*K142*1.2,2)</f>
        <v>1700</v>
      </c>
      <c r="N142" s="1095">
        <f t="shared" si="26"/>
        <v>1700</v>
      </c>
      <c r="O142" s="1095">
        <f t="shared" si="13"/>
        <v>0</v>
      </c>
      <c r="P142" s="1099">
        <v>1</v>
      </c>
      <c r="Q142" s="1095">
        <f t="shared" si="27"/>
        <v>1700</v>
      </c>
      <c r="R142" s="1170"/>
      <c r="S142" s="1105"/>
      <c r="T142" s="1103" t="s">
        <v>955</v>
      </c>
      <c r="U142" s="1092" t="s">
        <v>1088</v>
      </c>
      <c r="V142" s="979" t="s">
        <v>993</v>
      </c>
      <c r="W142" s="989">
        <f>R142</f>
        <v>0</v>
      </c>
      <c r="X142" s="989"/>
      <c r="Y142" s="989"/>
    </row>
    <row r="143" spans="1:25" ht="409.5" x14ac:dyDescent="0.25">
      <c r="A143" s="958">
        <v>134</v>
      </c>
      <c r="B143" s="959" t="s">
        <v>927</v>
      </c>
      <c r="C143" s="959" t="s">
        <v>265</v>
      </c>
      <c r="D143" s="961" t="s">
        <v>265</v>
      </c>
      <c r="E143" s="960" t="s">
        <v>928</v>
      </c>
      <c r="F143" s="961" t="s">
        <v>936</v>
      </c>
      <c r="G143" s="961"/>
      <c r="H143" s="961" t="s">
        <v>731</v>
      </c>
      <c r="I143" s="1097" t="s">
        <v>802</v>
      </c>
      <c r="J143" s="1098">
        <v>291.49</v>
      </c>
      <c r="K143" s="1098">
        <v>209</v>
      </c>
      <c r="L143" s="996"/>
      <c r="M143" s="1095">
        <f>J143*K143</f>
        <v>60921.41</v>
      </c>
      <c r="N143" s="1095">
        <f t="shared" si="26"/>
        <v>60921.41</v>
      </c>
      <c r="O143" s="1095">
        <f t="shared" si="13"/>
        <v>0</v>
      </c>
      <c r="P143" s="1099">
        <v>1</v>
      </c>
      <c r="Q143" s="1095">
        <f t="shared" si="27"/>
        <v>60921.41</v>
      </c>
      <c r="R143" s="1170">
        <v>19809.189999999999</v>
      </c>
      <c r="S143" s="1105" t="s">
        <v>204</v>
      </c>
      <c r="T143" s="1103" t="s">
        <v>983</v>
      </c>
      <c r="U143" s="1092" t="s">
        <v>1089</v>
      </c>
      <c r="V143" s="979" t="s">
        <v>993</v>
      </c>
      <c r="W143" s="989">
        <f>R143/2.5*1</f>
        <v>7923.6759999999995</v>
      </c>
      <c r="X143" s="989">
        <f>R143/2.5</f>
        <v>7923.6759999999995</v>
      </c>
      <c r="Y143" s="989">
        <f>R143/2.5*0.5</f>
        <v>3961.8379999999997</v>
      </c>
    </row>
    <row r="144" spans="1:25" ht="153" x14ac:dyDescent="0.25">
      <c r="A144" s="958">
        <v>135</v>
      </c>
      <c r="B144" s="959" t="s">
        <v>927</v>
      </c>
      <c r="C144" s="959" t="s">
        <v>265</v>
      </c>
      <c r="D144" s="961" t="s">
        <v>265</v>
      </c>
      <c r="E144" s="960" t="s">
        <v>984</v>
      </c>
      <c r="F144" s="961" t="s">
        <v>985</v>
      </c>
      <c r="G144" s="961"/>
      <c r="H144" s="961" t="s">
        <v>731</v>
      </c>
      <c r="I144" s="1097" t="s">
        <v>802</v>
      </c>
      <c r="J144" s="1098">
        <v>510</v>
      </c>
      <c r="K144" s="1098">
        <v>75</v>
      </c>
      <c r="L144" s="996"/>
      <c r="M144" s="1095">
        <f>J144*K144</f>
        <v>38250</v>
      </c>
      <c r="N144" s="1095">
        <f t="shared" si="26"/>
        <v>38250</v>
      </c>
      <c r="O144" s="1095">
        <f t="shared" si="13"/>
        <v>0</v>
      </c>
      <c r="P144" s="1099">
        <v>1</v>
      </c>
      <c r="Q144" s="1095">
        <f t="shared" si="27"/>
        <v>38250</v>
      </c>
      <c r="R144" s="1170">
        <v>18425.400000000001</v>
      </c>
      <c r="S144" s="1105"/>
      <c r="T144" s="1103" t="s">
        <v>983</v>
      </c>
      <c r="U144" s="1092" t="s">
        <v>986</v>
      </c>
      <c r="V144" s="979" t="s">
        <v>993</v>
      </c>
      <c r="W144" s="989">
        <f>R144/2.5*1</f>
        <v>7370.1600000000008</v>
      </c>
      <c r="X144" s="989">
        <f>R144/2.5</f>
        <v>7370.1600000000008</v>
      </c>
      <c r="Y144" s="989">
        <f>R144/2.5*0.5</f>
        <v>3685.0800000000004</v>
      </c>
    </row>
    <row r="145" spans="1:25" x14ac:dyDescent="0.25">
      <c r="A145" s="977" t="s">
        <v>937</v>
      </c>
      <c r="B145" s="980"/>
      <c r="C145" s="980"/>
      <c r="D145" s="978"/>
      <c r="E145" s="980"/>
      <c r="F145" s="980"/>
      <c r="G145" s="980"/>
      <c r="H145" s="980"/>
      <c r="I145" s="980"/>
      <c r="J145" s="980"/>
      <c r="K145" s="980"/>
      <c r="L145" s="980"/>
      <c r="M145" s="1160"/>
      <c r="N145" s="1160"/>
      <c r="O145" s="1160"/>
      <c r="P145" s="1161"/>
      <c r="Q145" s="1160"/>
      <c r="R145" s="1170"/>
      <c r="S145" s="1162"/>
      <c r="T145" s="1163"/>
      <c r="U145" s="978"/>
      <c r="V145" s="980"/>
      <c r="W145" s="990"/>
      <c r="X145" s="990"/>
      <c r="Y145" s="990"/>
    </row>
    <row r="146" spans="1:25" ht="75" x14ac:dyDescent="0.25">
      <c r="A146" s="958">
        <v>136</v>
      </c>
      <c r="B146" s="959" t="s">
        <v>927</v>
      </c>
      <c r="C146" s="959" t="s">
        <v>147</v>
      </c>
      <c r="D146" s="961" t="s">
        <v>147</v>
      </c>
      <c r="E146" s="960" t="s">
        <v>984</v>
      </c>
      <c r="F146" s="961" t="s">
        <v>938</v>
      </c>
      <c r="G146" s="961"/>
      <c r="H146" s="961" t="s">
        <v>731</v>
      </c>
      <c r="I146" s="1097" t="s">
        <v>277</v>
      </c>
      <c r="J146" s="1095">
        <v>9717</v>
      </c>
      <c r="K146" s="1098">
        <v>1</v>
      </c>
      <c r="L146" s="996"/>
      <c r="M146" s="1095">
        <f>ROUND(K146*J146*1.2,2)</f>
        <v>11660.4</v>
      </c>
      <c r="N146" s="1095">
        <f>M146</f>
        <v>11660.4</v>
      </c>
      <c r="O146" s="1095">
        <f>M146-N146</f>
        <v>0</v>
      </c>
      <c r="P146" s="1099">
        <v>1</v>
      </c>
      <c r="Q146" s="1095">
        <f>P146*N146</f>
        <v>11660.4</v>
      </c>
      <c r="R146" s="1170"/>
      <c r="S146" s="1105" t="s">
        <v>204</v>
      </c>
      <c r="T146" s="1103" t="s">
        <v>983</v>
      </c>
      <c r="U146" s="1092" t="s">
        <v>987</v>
      </c>
      <c r="V146" s="979" t="s">
        <v>993</v>
      </c>
      <c r="W146" s="989">
        <f>R146/2</f>
        <v>0</v>
      </c>
      <c r="X146" s="989">
        <f>R146/2</f>
        <v>0</v>
      </c>
      <c r="Y146" s="989"/>
    </row>
    <row r="147" spans="1:25" ht="135" x14ac:dyDescent="0.25">
      <c r="A147" s="958">
        <v>137</v>
      </c>
      <c r="B147" s="959" t="s">
        <v>927</v>
      </c>
      <c r="C147" s="959" t="s">
        <v>147</v>
      </c>
      <c r="D147" s="961" t="s">
        <v>147</v>
      </c>
      <c r="E147" s="960" t="s">
        <v>984</v>
      </c>
      <c r="F147" s="961" t="s">
        <v>988</v>
      </c>
      <c r="G147" s="961"/>
      <c r="H147" s="961" t="s">
        <v>731</v>
      </c>
      <c r="I147" s="1097" t="s">
        <v>277</v>
      </c>
      <c r="J147" s="1095">
        <v>27000</v>
      </c>
      <c r="K147" s="1098">
        <v>1</v>
      </c>
      <c r="L147" s="996"/>
      <c r="M147" s="1095">
        <f>ROUND(J147*K147*1.2,2)</f>
        <v>32400</v>
      </c>
      <c r="N147" s="1095">
        <f t="shared" ref="N147:N150" si="28">M147</f>
        <v>32400</v>
      </c>
      <c r="O147" s="1095">
        <f>M147-N147</f>
        <v>0</v>
      </c>
      <c r="P147" s="1099">
        <v>1</v>
      </c>
      <c r="Q147" s="1095">
        <f>P147*N147</f>
        <v>32400</v>
      </c>
      <c r="R147" s="1170"/>
      <c r="S147" s="1105" t="s">
        <v>204</v>
      </c>
      <c r="T147" s="1103" t="s">
        <v>983</v>
      </c>
      <c r="U147" s="1092" t="s">
        <v>989</v>
      </c>
      <c r="V147" s="979" t="s">
        <v>993</v>
      </c>
      <c r="W147" s="989">
        <f>R147/2</f>
        <v>0</v>
      </c>
      <c r="X147" s="989">
        <f>R147/2</f>
        <v>0</v>
      </c>
      <c r="Y147" s="989"/>
    </row>
    <row r="148" spans="1:25" ht="242.25" x14ac:dyDescent="0.25">
      <c r="A148" s="958">
        <v>138</v>
      </c>
      <c r="B148" s="959" t="s">
        <v>927</v>
      </c>
      <c r="C148" s="959" t="s">
        <v>147</v>
      </c>
      <c r="D148" s="961" t="s">
        <v>147</v>
      </c>
      <c r="E148" s="960" t="s">
        <v>928</v>
      </c>
      <c r="F148" s="961" t="s">
        <v>939</v>
      </c>
      <c r="G148" s="961"/>
      <c r="H148" s="961" t="s">
        <v>731</v>
      </c>
      <c r="I148" s="1097" t="s">
        <v>802</v>
      </c>
      <c r="J148" s="1095">
        <v>182.18</v>
      </c>
      <c r="K148" s="1098">
        <v>26</v>
      </c>
      <c r="L148" s="996"/>
      <c r="M148" s="1095">
        <f>ROUND(J148*K148,2)</f>
        <v>4736.68</v>
      </c>
      <c r="N148" s="1095">
        <f t="shared" si="28"/>
        <v>4736.68</v>
      </c>
      <c r="O148" s="1095">
        <f>M148-N148</f>
        <v>0</v>
      </c>
      <c r="P148" s="1099">
        <v>1</v>
      </c>
      <c r="Q148" s="1095">
        <f>P148*N148</f>
        <v>4736.68</v>
      </c>
      <c r="R148" s="1170"/>
      <c r="S148" s="1105" t="s">
        <v>204</v>
      </c>
      <c r="T148" s="1103" t="s">
        <v>983</v>
      </c>
      <c r="U148" s="1092" t="s">
        <v>990</v>
      </c>
      <c r="V148" s="979" t="s">
        <v>993</v>
      </c>
      <c r="W148" s="989">
        <f>R148/2</f>
        <v>0</v>
      </c>
      <c r="X148" s="989">
        <f>R148/2</f>
        <v>0</v>
      </c>
      <c r="Y148" s="989"/>
    </row>
    <row r="149" spans="1:25" ht="30" x14ac:dyDescent="0.25">
      <c r="A149" s="958">
        <v>139</v>
      </c>
      <c r="B149" s="959" t="s">
        <v>927</v>
      </c>
      <c r="C149" s="959" t="s">
        <v>147</v>
      </c>
      <c r="D149" s="961" t="s">
        <v>147</v>
      </c>
      <c r="E149" s="960" t="s">
        <v>984</v>
      </c>
      <c r="F149" s="961" t="s">
        <v>991</v>
      </c>
      <c r="G149" s="961"/>
      <c r="H149" s="961" t="s">
        <v>731</v>
      </c>
      <c r="I149" s="1097" t="s">
        <v>277</v>
      </c>
      <c r="J149" s="1095">
        <v>500</v>
      </c>
      <c r="K149" s="1098">
        <v>1</v>
      </c>
      <c r="L149" s="996"/>
      <c r="M149" s="1095">
        <f>ROUND(J149*K149*1.2,2)</f>
        <v>600</v>
      </c>
      <c r="N149" s="1095">
        <f t="shared" si="28"/>
        <v>600</v>
      </c>
      <c r="O149" s="1095">
        <f>M149-N149</f>
        <v>0</v>
      </c>
      <c r="P149" s="1099">
        <v>1</v>
      </c>
      <c r="Q149" s="1095">
        <f>P149*N149</f>
        <v>600</v>
      </c>
      <c r="R149" s="1170"/>
      <c r="S149" s="1105" t="s">
        <v>204</v>
      </c>
      <c r="T149" s="1103" t="s">
        <v>955</v>
      </c>
      <c r="U149" s="1092" t="s">
        <v>992</v>
      </c>
      <c r="V149" s="979" t="s">
        <v>993</v>
      </c>
      <c r="W149" s="989">
        <f>R149/2</f>
        <v>0</v>
      </c>
      <c r="X149" s="989">
        <f>R149/2</f>
        <v>0</v>
      </c>
      <c r="Y149" s="989"/>
    </row>
    <row r="150" spans="1:25" ht="30" x14ac:dyDescent="0.25">
      <c r="A150" s="958">
        <v>140</v>
      </c>
      <c r="B150" s="959" t="s">
        <v>927</v>
      </c>
      <c r="C150" s="959" t="s">
        <v>147</v>
      </c>
      <c r="D150" s="961" t="s">
        <v>147</v>
      </c>
      <c r="E150" s="960" t="s">
        <v>984</v>
      </c>
      <c r="F150" s="961" t="s">
        <v>940</v>
      </c>
      <c r="G150" s="961"/>
      <c r="H150" s="961" t="s">
        <v>731</v>
      </c>
      <c r="I150" s="1097" t="s">
        <v>277</v>
      </c>
      <c r="J150" s="1095">
        <v>920</v>
      </c>
      <c r="K150" s="1098">
        <v>1</v>
      </c>
      <c r="L150" s="996"/>
      <c r="M150" s="1095">
        <f>ROUND(J150*K150*1.2,2)</f>
        <v>1104</v>
      </c>
      <c r="N150" s="1095">
        <f t="shared" si="28"/>
        <v>1104</v>
      </c>
      <c r="O150" s="1095">
        <f>M150-N150</f>
        <v>0</v>
      </c>
      <c r="P150" s="1099">
        <v>1</v>
      </c>
      <c r="Q150" s="1095">
        <f>P150*N150</f>
        <v>1104</v>
      </c>
      <c r="R150" s="1170"/>
      <c r="S150" s="1105" t="s">
        <v>204</v>
      </c>
      <c r="T150" s="1103" t="s">
        <v>955</v>
      </c>
      <c r="U150" s="1092" t="s">
        <v>992</v>
      </c>
      <c r="V150" s="979" t="s">
        <v>993</v>
      </c>
      <c r="W150" s="989">
        <f>R150/2</f>
        <v>0</v>
      </c>
      <c r="X150" s="989">
        <f>R150/2</f>
        <v>0</v>
      </c>
      <c r="Y150" s="989"/>
    </row>
    <row r="151" spans="1:25" x14ac:dyDescent="0.25">
      <c r="A151" s="981" t="s">
        <v>35</v>
      </c>
      <c r="B151" s="982"/>
      <c r="C151" s="982"/>
      <c r="D151" s="1101"/>
      <c r="E151" s="965"/>
      <c r="F151" s="966"/>
      <c r="G151" s="966"/>
      <c r="H151" s="966"/>
      <c r="I151" s="965"/>
      <c r="J151" s="967"/>
      <c r="K151" s="968"/>
      <c r="L151" s="983">
        <f>SUM(L4:L150)</f>
        <v>0</v>
      </c>
      <c r="M151" s="983">
        <f>SUM(M4:M150)</f>
        <v>5267324.8899999997</v>
      </c>
      <c r="N151" s="983">
        <f>SUM(N4:N150)</f>
        <v>5267324.8899999997</v>
      </c>
      <c r="O151" s="984">
        <v>0</v>
      </c>
      <c r="P151" s="968"/>
      <c r="Q151" s="983">
        <f>SUM(Q4:Q150)</f>
        <v>5267324.8899999997</v>
      </c>
      <c r="R151" s="1170"/>
      <c r="S151" s="1104"/>
      <c r="T151" s="1104"/>
      <c r="U151" s="966"/>
      <c r="V151" s="968"/>
      <c r="W151" s="983">
        <f>SUM(W4:W150)</f>
        <v>1403541.8479999995</v>
      </c>
      <c r="X151" s="983">
        <f>SUM(X4:X150)</f>
        <v>3140784.9680000003</v>
      </c>
      <c r="Y151" s="983">
        <f>SUM(Y4:Y150)+Y153</f>
        <v>101648.79400000001</v>
      </c>
    </row>
    <row r="152" spans="1:25" x14ac:dyDescent="0.25">
      <c r="A152" s="1146" t="s">
        <v>1029</v>
      </c>
      <c r="B152" s="982"/>
      <c r="C152" s="982"/>
      <c r="D152" s="1101"/>
      <c r="E152" s="965"/>
      <c r="F152" s="966"/>
      <c r="G152" s="966"/>
      <c r="H152" s="966"/>
      <c r="I152" s="1139"/>
      <c r="J152" s="1140"/>
      <c r="K152" s="1141"/>
      <c r="L152" s="983"/>
      <c r="M152" s="1142"/>
      <c r="N152" s="1142"/>
      <c r="O152" s="1143"/>
      <c r="P152" s="1141"/>
      <c r="Q152" s="1142"/>
      <c r="R152" s="1170"/>
      <c r="S152" s="1144"/>
      <c r="T152" s="1144"/>
      <c r="U152" s="1145"/>
      <c r="V152" s="968"/>
      <c r="W152" s="983"/>
      <c r="X152" s="983"/>
      <c r="Y152" s="1148"/>
    </row>
    <row r="153" spans="1:25" ht="30" x14ac:dyDescent="0.25">
      <c r="A153" s="958">
        <v>141</v>
      </c>
      <c r="B153" s="959" t="s">
        <v>927</v>
      </c>
      <c r="C153" s="959" t="s">
        <v>265</v>
      </c>
      <c r="D153" s="961" t="s">
        <v>265</v>
      </c>
      <c r="E153" s="960" t="s">
        <v>984</v>
      </c>
      <c r="F153" s="961" t="s">
        <v>1030</v>
      </c>
      <c r="G153" s="961"/>
      <c r="H153" s="961" t="s">
        <v>731</v>
      </c>
      <c r="I153" s="994" t="s">
        <v>277</v>
      </c>
      <c r="J153" s="996">
        <v>4800</v>
      </c>
      <c r="K153" s="996">
        <v>1</v>
      </c>
      <c r="L153" s="997">
        <f t="shared" ref="L153" si="29">J153*K153</f>
        <v>4800</v>
      </c>
      <c r="M153" s="997">
        <f>J153*K153*1.2</f>
        <v>5760</v>
      </c>
      <c r="N153" s="997">
        <f t="shared" ref="N153" si="30">M153</f>
        <v>5760</v>
      </c>
      <c r="O153" s="997">
        <f t="shared" ref="O153" si="31">M153-N153</f>
        <v>0</v>
      </c>
      <c r="P153" s="1094">
        <v>0</v>
      </c>
      <c r="Q153" s="997">
        <f t="shared" ref="Q153" si="32">P153*N153</f>
        <v>0</v>
      </c>
      <c r="R153" s="1170">
        <v>5760</v>
      </c>
      <c r="S153" s="1147"/>
      <c r="T153" s="1102" t="s">
        <v>955</v>
      </c>
      <c r="U153" s="1091" t="s">
        <v>1028</v>
      </c>
      <c r="V153" s="979"/>
      <c r="W153" s="989"/>
      <c r="X153" s="989"/>
      <c r="Y153" s="989">
        <f>R153</f>
        <v>5760</v>
      </c>
    </row>
  </sheetData>
  <autoFilter ref="A2:X151" xr:uid="{89B1A790-CA4C-4BF9-B890-C20DF11E4C2B}"/>
  <mergeCells count="1">
    <mergeCell ref="A1:B1"/>
  </mergeCells>
  <phoneticPr fontId="110" type="noConversion"/>
  <conditionalFormatting sqref="P5:P47">
    <cfRule type="cellIs" dxfId="53" priority="53" stopIfTrue="1" operator="between">
      <formula>0.4</formula>
      <formula>0.5</formula>
    </cfRule>
    <cfRule type="cellIs" dxfId="52" priority="54" stopIfTrue="1" operator="greaterThan">
      <formula>0.5</formula>
    </cfRule>
  </conditionalFormatting>
  <conditionalFormatting sqref="P49:P53">
    <cfRule type="cellIs" dxfId="51" priority="19" stopIfTrue="1" operator="between">
      <formula>0.4</formula>
      <formula>0.5</formula>
    </cfRule>
    <cfRule type="cellIs" dxfId="50" priority="20" stopIfTrue="1" operator="greaterThan">
      <formula>0.5</formula>
    </cfRule>
  </conditionalFormatting>
  <conditionalFormatting sqref="P55:P89">
    <cfRule type="cellIs" dxfId="49" priority="17" stopIfTrue="1" operator="between">
      <formula>0.4</formula>
      <formula>0.5</formula>
    </cfRule>
    <cfRule type="cellIs" dxfId="48" priority="18" stopIfTrue="1" operator="greaterThan">
      <formula>0.5</formula>
    </cfRule>
  </conditionalFormatting>
  <conditionalFormatting sqref="P91:P110">
    <cfRule type="cellIs" dxfId="47" priority="15" stopIfTrue="1" operator="between">
      <formula>0.4</formula>
      <formula>0.5</formula>
    </cfRule>
    <cfRule type="cellIs" dxfId="46" priority="16" stopIfTrue="1" operator="greaterThan">
      <formula>0.5</formula>
    </cfRule>
  </conditionalFormatting>
  <conditionalFormatting sqref="P112:P132">
    <cfRule type="cellIs" dxfId="45" priority="13" stopIfTrue="1" operator="between">
      <formula>0.4</formula>
      <formula>0.5</formula>
    </cfRule>
    <cfRule type="cellIs" dxfId="44" priority="14" stopIfTrue="1" operator="greaterThan">
      <formula>0.5</formula>
    </cfRule>
  </conditionalFormatting>
  <conditionalFormatting sqref="P134:P144">
    <cfRule type="cellIs" dxfId="43" priority="11" stopIfTrue="1" operator="between">
      <formula>0.4</formula>
      <formula>0.5</formula>
    </cfRule>
    <cfRule type="cellIs" dxfId="42" priority="12" stopIfTrue="1" operator="greaterThan">
      <formula>0.5</formula>
    </cfRule>
  </conditionalFormatting>
  <conditionalFormatting sqref="P146:P150">
    <cfRule type="cellIs" dxfId="41" priority="9" stopIfTrue="1" operator="between">
      <formula>0.4</formula>
      <formula>0.5</formula>
    </cfRule>
    <cfRule type="cellIs" dxfId="40" priority="10" stopIfTrue="1" operator="greaterThan">
      <formula>0.5</formula>
    </cfRule>
  </conditionalFormatting>
  <conditionalFormatting sqref="P153">
    <cfRule type="cellIs" dxfId="39" priority="3" stopIfTrue="1" operator="between">
      <formula>0.4</formula>
      <formula>0.5</formula>
    </cfRule>
    <cfRule type="cellIs" dxfId="38" priority="4" stopIfTrue="1" operator="greaterThan">
      <formula>0.5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BK118"/>
  <sheetViews>
    <sheetView showGridLines="0" zoomScaleNormal="100" zoomScaleSheetLayoutView="80" workbookViewId="0">
      <pane xSplit="3" ySplit="3" topLeftCell="D48" activePane="bottomRight" state="frozen"/>
      <selection activeCell="C47" sqref="C47"/>
      <selection pane="topRight" activeCell="C47" sqref="C47"/>
      <selection pane="bottomLeft" activeCell="C47" sqref="C47"/>
      <selection pane="bottomRight" activeCell="C47" sqref="C47"/>
    </sheetView>
  </sheetViews>
  <sheetFormatPr defaultColWidth="8.5703125" defaultRowHeight="12" x14ac:dyDescent="0.2"/>
  <cols>
    <col min="1" max="1" width="37.85546875" style="1000" customWidth="1"/>
    <col min="2" max="2" width="14.5703125" style="1001" customWidth="1"/>
    <col min="3" max="3" width="32.140625" style="1002" bestFit="1" customWidth="1"/>
    <col min="4" max="4" width="27.42578125" style="1002" bestFit="1" customWidth="1"/>
    <col min="5" max="5" width="9.5703125" style="1002" customWidth="1"/>
    <col min="6" max="28" width="3.5703125" style="1002" customWidth="1"/>
    <col min="29" max="32" width="8" style="1002" customWidth="1"/>
    <col min="33" max="35" width="8" style="1003" customWidth="1"/>
    <col min="36" max="36" width="10" style="1003" customWidth="1"/>
    <col min="37" max="37" width="12.5703125" style="1004" customWidth="1"/>
    <col min="38" max="38" width="4.5703125" style="1002" customWidth="1"/>
    <col min="39" max="39" width="10.5703125" style="1002" customWidth="1"/>
    <col min="40" max="42" width="8.5703125" style="1002" customWidth="1"/>
    <col min="43" max="43" width="8.5703125" style="1003" customWidth="1"/>
    <col min="44" max="44" width="10.5703125" style="1003" customWidth="1"/>
    <col min="45" max="45" width="5.5703125" style="1002" customWidth="1"/>
    <col min="46" max="46" width="8.5703125" style="1002" customWidth="1"/>
    <col min="47" max="47" width="8.85546875" style="1002" customWidth="1"/>
    <col min="48" max="48" width="8.5703125" style="1002" customWidth="1"/>
    <col min="49" max="50" width="8.85546875" style="1002" customWidth="1"/>
    <col min="51" max="51" width="11.85546875" style="1002" customWidth="1"/>
    <col min="52" max="52" width="13.140625" style="1002" customWidth="1"/>
    <col min="53" max="53" width="8.5703125" style="1002"/>
    <col min="54" max="54" width="12.42578125" style="1002" customWidth="1"/>
    <col min="55" max="55" width="27.42578125" style="1002" customWidth="1"/>
    <col min="56" max="56" width="12.42578125" style="1002" customWidth="1"/>
    <col min="57" max="58" width="13.140625" style="1002" customWidth="1"/>
    <col min="59" max="59" width="9.42578125" style="1002" bestFit="1" customWidth="1"/>
    <col min="60" max="60" width="11.42578125" style="1002" customWidth="1"/>
    <col min="61" max="61" width="10.5703125" style="1002" customWidth="1"/>
    <col min="62" max="62" width="10.42578125" style="1002" bestFit="1" customWidth="1"/>
    <col min="63" max="16384" width="8.5703125" style="1002"/>
  </cols>
  <sheetData>
    <row r="1" spans="1:52" ht="12.75" thickBot="1" x14ac:dyDescent="0.25">
      <c r="AM1" s="1002" t="s">
        <v>335</v>
      </c>
      <c r="AT1" s="1002" t="s">
        <v>336</v>
      </c>
      <c r="AX1" s="1003"/>
      <c r="AY1" s="1003"/>
    </row>
    <row r="2" spans="1:52" ht="36.75" customHeight="1" x14ac:dyDescent="0.2">
      <c r="A2" s="1005" t="s">
        <v>730</v>
      </c>
      <c r="B2" s="1006" t="s">
        <v>729</v>
      </c>
      <c r="C2" s="1007" t="s">
        <v>118</v>
      </c>
      <c r="D2" s="1008" t="s">
        <v>1</v>
      </c>
      <c r="E2" s="1009" t="s">
        <v>119</v>
      </c>
      <c r="F2" s="1010" t="s">
        <v>120</v>
      </c>
      <c r="G2" s="1010" t="s">
        <v>121</v>
      </c>
      <c r="H2" s="1010" t="s">
        <v>122</v>
      </c>
      <c r="I2" s="1010" t="s">
        <v>123</v>
      </c>
      <c r="J2" s="1010" t="s">
        <v>124</v>
      </c>
      <c r="K2" s="1010" t="s">
        <v>125</v>
      </c>
      <c r="L2" s="1010" t="s">
        <v>126</v>
      </c>
      <c r="M2" s="1010" t="s">
        <v>127</v>
      </c>
      <c r="N2" s="1010" t="s">
        <v>128</v>
      </c>
      <c r="O2" s="1010" t="s">
        <v>129</v>
      </c>
      <c r="P2" s="1011" t="s">
        <v>130</v>
      </c>
      <c r="Q2" s="1010" t="s">
        <v>131</v>
      </c>
      <c r="R2" s="1010" t="s">
        <v>132</v>
      </c>
      <c r="S2" s="1010" t="s">
        <v>133</v>
      </c>
      <c r="T2" s="1010" t="s">
        <v>134</v>
      </c>
      <c r="U2" s="1010" t="s">
        <v>135</v>
      </c>
      <c r="V2" s="1010" t="s">
        <v>136</v>
      </c>
      <c r="W2" s="1010" t="s">
        <v>137</v>
      </c>
      <c r="X2" s="1010" t="s">
        <v>138</v>
      </c>
      <c r="Y2" s="1010" t="s">
        <v>139</v>
      </c>
      <c r="Z2" s="1010" t="s">
        <v>140</v>
      </c>
      <c r="AA2" s="1010" t="s">
        <v>367</v>
      </c>
      <c r="AB2" s="1011" t="s">
        <v>141</v>
      </c>
      <c r="AC2" s="1012" t="s">
        <v>142</v>
      </c>
      <c r="AD2" s="1013" t="s">
        <v>143</v>
      </c>
      <c r="AE2" s="1013" t="s">
        <v>144</v>
      </c>
      <c r="AF2" s="1013" t="s">
        <v>145</v>
      </c>
      <c r="AG2" s="1014" t="s">
        <v>740</v>
      </c>
      <c r="AH2" s="1014"/>
      <c r="AI2" s="1014" t="s">
        <v>627</v>
      </c>
      <c r="AJ2" s="1015" t="s">
        <v>146</v>
      </c>
      <c r="AK2" s="1016" t="s">
        <v>637</v>
      </c>
      <c r="AL2" s="1017"/>
      <c r="AM2" s="1012" t="s">
        <v>142</v>
      </c>
      <c r="AN2" s="1013" t="s">
        <v>143</v>
      </c>
      <c r="AO2" s="1013" t="s">
        <v>144</v>
      </c>
      <c r="AP2" s="1013" t="s">
        <v>145</v>
      </c>
      <c r="AQ2" s="1015" t="s">
        <v>146</v>
      </c>
      <c r="AR2" s="1016" t="s">
        <v>637</v>
      </c>
      <c r="AT2" s="1012" t="s">
        <v>142</v>
      </c>
      <c r="AU2" s="1013" t="s">
        <v>143</v>
      </c>
      <c r="AV2" s="1013" t="s">
        <v>144</v>
      </c>
      <c r="AW2" s="1013" t="s">
        <v>145</v>
      </c>
      <c r="AX2" s="1015" t="s">
        <v>146</v>
      </c>
      <c r="AY2" s="1016" t="s">
        <v>637</v>
      </c>
    </row>
    <row r="3" spans="1:52" ht="14.25" customHeight="1" x14ac:dyDescent="0.2">
      <c r="A3" s="1005"/>
      <c r="B3" s="1006"/>
      <c r="C3" s="1018"/>
      <c r="D3" s="1019"/>
      <c r="E3" s="1020"/>
      <c r="F3" s="1021"/>
      <c r="G3" s="1021"/>
      <c r="H3" s="1021"/>
      <c r="I3" s="1021"/>
      <c r="J3" s="1021"/>
      <c r="K3" s="1021"/>
      <c r="L3" s="1021"/>
      <c r="M3" s="1021"/>
      <c r="N3" s="1021"/>
      <c r="O3" s="1021"/>
      <c r="P3" s="1022"/>
      <c r="Q3" s="1021"/>
      <c r="R3" s="1021"/>
      <c r="S3" s="1021"/>
      <c r="T3" s="1021"/>
      <c r="U3" s="1021"/>
      <c r="V3" s="1021"/>
      <c r="W3" s="1021"/>
      <c r="X3" s="1021"/>
      <c r="Y3" s="1021"/>
      <c r="Z3" s="1021"/>
      <c r="AA3" s="1021"/>
      <c r="AB3" s="1022"/>
      <c r="AC3" s="1023"/>
      <c r="AD3" s="1024"/>
      <c r="AE3" s="1024"/>
      <c r="AF3" s="1024"/>
      <c r="AG3" s="1025"/>
      <c r="AH3" s="1025"/>
      <c r="AI3" s="1025"/>
      <c r="AJ3" s="1026"/>
      <c r="AK3" s="1027"/>
      <c r="AL3" s="1028"/>
      <c r="AM3" s="1023"/>
      <c r="AN3" s="1024"/>
      <c r="AO3" s="1024"/>
      <c r="AP3" s="1024"/>
      <c r="AQ3" s="1026"/>
      <c r="AR3" s="1027"/>
      <c r="AT3" s="1023"/>
      <c r="AU3" s="1024"/>
      <c r="AV3" s="1024"/>
      <c r="AW3" s="1024"/>
      <c r="AX3" s="1026"/>
      <c r="AY3" s="1027"/>
    </row>
    <row r="4" spans="1:52" ht="12.75" x14ac:dyDescent="0.2">
      <c r="A4" s="1000" t="s">
        <v>731</v>
      </c>
      <c r="C4" s="1029" t="s">
        <v>639</v>
      </c>
      <c r="E4" s="1030" t="s">
        <v>212</v>
      </c>
      <c r="F4" s="1031"/>
      <c r="G4" s="1031"/>
      <c r="H4" s="1031"/>
      <c r="I4" s="1031"/>
      <c r="J4" s="1031"/>
      <c r="K4" s="1031"/>
      <c r="L4" s="1031"/>
      <c r="M4" s="1031"/>
      <c r="N4" s="1031"/>
      <c r="O4" s="1031"/>
      <c r="P4" s="1032"/>
      <c r="Q4" s="1033"/>
      <c r="R4" s="1033"/>
      <c r="S4" s="1033"/>
      <c r="T4" s="1033"/>
      <c r="U4" s="1033"/>
      <c r="V4" s="1033"/>
      <c r="W4" s="1033"/>
      <c r="X4" s="1033"/>
      <c r="Y4" s="1033"/>
      <c r="Z4" s="1033"/>
      <c r="AA4" s="1033"/>
      <c r="AB4" s="1034"/>
      <c r="AC4" s="1035"/>
      <c r="AD4" s="1036"/>
      <c r="AE4" s="1036"/>
      <c r="AF4" s="1036"/>
      <c r="AG4" s="1037"/>
      <c r="AH4" s="1037"/>
      <c r="AI4" s="1037"/>
      <c r="AJ4" s="1038"/>
      <c r="AK4" s="1039"/>
      <c r="AL4" s="1040"/>
      <c r="AM4" s="1035"/>
      <c r="AN4" s="1036"/>
      <c r="AO4" s="1036"/>
      <c r="AP4" s="1036"/>
      <c r="AQ4" s="1038"/>
      <c r="AR4" s="1039"/>
      <c r="AT4" s="1035"/>
      <c r="AU4" s="1036"/>
      <c r="AV4" s="1036"/>
      <c r="AW4" s="1036"/>
      <c r="AX4" s="1038"/>
      <c r="AY4" s="1039"/>
    </row>
    <row r="5" spans="1:52" ht="12.75" x14ac:dyDescent="0.2">
      <c r="A5" s="1000" t="s">
        <v>731</v>
      </c>
      <c r="B5" s="1001" t="s">
        <v>317</v>
      </c>
      <c r="C5" s="1041" t="s">
        <v>695</v>
      </c>
      <c r="E5" s="1042">
        <v>1</v>
      </c>
      <c r="F5" s="1033">
        <v>1</v>
      </c>
      <c r="G5" s="1033">
        <v>1</v>
      </c>
      <c r="H5" s="1033">
        <v>1</v>
      </c>
      <c r="I5" s="1033">
        <v>1</v>
      </c>
      <c r="J5" s="1033">
        <v>1</v>
      </c>
      <c r="K5" s="1033">
        <v>1</v>
      </c>
      <c r="L5" s="1033">
        <v>1</v>
      </c>
      <c r="M5" s="1033">
        <v>1</v>
      </c>
      <c r="N5" s="1033">
        <v>1</v>
      </c>
      <c r="O5" s="1033">
        <v>1</v>
      </c>
      <c r="P5" s="1034">
        <v>1</v>
      </c>
      <c r="Q5" s="1033">
        <v>1</v>
      </c>
      <c r="R5" s="1033">
        <v>1</v>
      </c>
      <c r="S5" s="1033">
        <v>1</v>
      </c>
      <c r="T5" s="1033">
        <v>1</v>
      </c>
      <c r="U5" s="1033">
        <v>1</v>
      </c>
      <c r="V5" s="1033">
        <v>1</v>
      </c>
      <c r="W5" s="1033">
        <v>1</v>
      </c>
      <c r="X5" s="1033">
        <v>1</v>
      </c>
      <c r="Y5" s="1033">
        <v>1</v>
      </c>
      <c r="Z5" s="1033">
        <v>1</v>
      </c>
      <c r="AA5" s="1033">
        <v>1</v>
      </c>
      <c r="AB5" s="1033">
        <v>1</v>
      </c>
      <c r="AC5" s="1043">
        <f t="shared" ref="AC5:AC10" si="0">COUNTA(E5:AB5)*21</f>
        <v>504</v>
      </c>
      <c r="AD5" s="1044">
        <f>COUNTA(E5:AB5)*21</f>
        <v>504</v>
      </c>
      <c r="AE5" s="1045"/>
      <c r="AF5" s="1045">
        <v>0.35000000000000003</v>
      </c>
      <c r="AG5" s="1046">
        <f>AF5*AD5</f>
        <v>176.4</v>
      </c>
      <c r="AH5" s="1047"/>
      <c r="AI5" s="1048">
        <f>$BF$58</f>
        <v>660</v>
      </c>
      <c r="AJ5" s="1049">
        <f>AC5*AE5*AG5</f>
        <v>0</v>
      </c>
      <c r="AK5" s="1050">
        <f t="shared" ref="AK5:AK86" si="1">AD5*AF5*AI5</f>
        <v>116424</v>
      </c>
      <c r="AL5" s="1040">
        <f t="shared" ref="AL5:AL10" si="2">AK5/$AK$90</f>
        <v>1.4397400380242325E-2</v>
      </c>
      <c r="AM5" s="1043">
        <f t="shared" ref="AM5:AM10" si="3">COUNTA(E5:P5)*21</f>
        <v>252</v>
      </c>
      <c r="AN5" s="1044">
        <f>AM5</f>
        <v>252</v>
      </c>
      <c r="AO5" s="1045"/>
      <c r="AP5" s="1045">
        <f>AF5</f>
        <v>0.35000000000000003</v>
      </c>
      <c r="AQ5" s="1038">
        <f t="shared" ref="AQ5:AQ10" si="4">AM5*AO5*AG5</f>
        <v>0</v>
      </c>
      <c r="AR5" s="1039">
        <f t="shared" ref="AR5:AR10" si="5">AN5*AP5*AI5</f>
        <v>58212</v>
      </c>
      <c r="AT5" s="1043">
        <f t="shared" ref="AT5:AT10" si="6">COUNTA(Q5:AB5)*21</f>
        <v>252</v>
      </c>
      <c r="AU5" s="1044">
        <f>AT5</f>
        <v>252</v>
      </c>
      <c r="AV5" s="1045"/>
      <c r="AW5" s="1045">
        <f>AF5</f>
        <v>0.35000000000000003</v>
      </c>
      <c r="AX5" s="1038">
        <f t="shared" ref="AX5:AX10" si="7">AT5*AV5*AG5</f>
        <v>0</v>
      </c>
      <c r="AY5" s="1039">
        <f t="shared" ref="AY5:AY10" si="8">AU5*AW5*AI5</f>
        <v>58212</v>
      </c>
      <c r="AZ5" s="1003"/>
    </row>
    <row r="6" spans="1:52" ht="12.75" x14ac:dyDescent="0.2">
      <c r="A6" s="1000" t="s">
        <v>731</v>
      </c>
      <c r="B6" s="1001" t="s">
        <v>318</v>
      </c>
      <c r="C6" s="1041" t="s">
        <v>696</v>
      </c>
      <c r="E6" s="1042"/>
      <c r="F6" s="1033"/>
      <c r="G6" s="1033"/>
      <c r="H6" s="1033"/>
      <c r="I6" s="1033"/>
      <c r="J6" s="1033"/>
      <c r="K6" s="1033">
        <v>1</v>
      </c>
      <c r="L6" s="1033">
        <v>1</v>
      </c>
      <c r="M6" s="1033">
        <v>1</v>
      </c>
      <c r="N6" s="1033">
        <v>1</v>
      </c>
      <c r="O6" s="1033">
        <v>1</v>
      </c>
      <c r="P6" s="1034">
        <v>1</v>
      </c>
      <c r="Q6" s="1033">
        <v>1</v>
      </c>
      <c r="R6" s="1033">
        <v>1</v>
      </c>
      <c r="S6" s="1033">
        <v>1</v>
      </c>
      <c r="T6" s="1033">
        <v>1</v>
      </c>
      <c r="U6" s="1033">
        <v>1</v>
      </c>
      <c r="V6" s="1033">
        <v>1</v>
      </c>
      <c r="W6" s="1033">
        <v>1</v>
      </c>
      <c r="X6" s="1033">
        <v>1</v>
      </c>
      <c r="Y6" s="1033">
        <v>1</v>
      </c>
      <c r="Z6" s="1033">
        <v>1</v>
      </c>
      <c r="AA6" s="1033">
        <v>1</v>
      </c>
      <c r="AB6" s="1033">
        <v>1</v>
      </c>
      <c r="AC6" s="1043">
        <f t="shared" si="0"/>
        <v>378</v>
      </c>
      <c r="AD6" s="1044">
        <f t="shared" ref="AD6:AD85" si="9">COUNTA(E6:AB6)*21</f>
        <v>378</v>
      </c>
      <c r="AE6" s="1045"/>
      <c r="AF6" s="1045">
        <v>1.35</v>
      </c>
      <c r="AG6" s="1046">
        <f t="shared" ref="AG6:AG10" si="10">AF6*AD6</f>
        <v>510.3</v>
      </c>
      <c r="AH6" s="1047"/>
      <c r="AI6" s="1048">
        <f>$BF$59</f>
        <v>780</v>
      </c>
      <c r="AJ6" s="1049">
        <f t="shared" ref="AJ6:AJ85" si="11">AC6*AE6*AG6</f>
        <v>0</v>
      </c>
      <c r="AK6" s="1050">
        <f t="shared" si="1"/>
        <v>398034</v>
      </c>
      <c r="AL6" s="1040">
        <f t="shared" si="2"/>
        <v>4.9222281170114186E-2</v>
      </c>
      <c r="AM6" s="1043">
        <f t="shared" si="3"/>
        <v>126</v>
      </c>
      <c r="AN6" s="1044">
        <f t="shared" ref="AN6:AN10" si="12">AM6</f>
        <v>126</v>
      </c>
      <c r="AO6" s="1045"/>
      <c r="AP6" s="1045">
        <f t="shared" ref="AP6:AP10" si="13">AF6</f>
        <v>1.35</v>
      </c>
      <c r="AQ6" s="1038">
        <f t="shared" si="4"/>
        <v>0</v>
      </c>
      <c r="AR6" s="1039">
        <f t="shared" si="5"/>
        <v>132678.00000000003</v>
      </c>
      <c r="AT6" s="1043">
        <f t="shared" si="6"/>
        <v>252</v>
      </c>
      <c r="AU6" s="1044">
        <f t="shared" ref="AU6:AU10" si="14">AT6</f>
        <v>252</v>
      </c>
      <c r="AV6" s="1045"/>
      <c r="AW6" s="1045">
        <f t="shared" ref="AW6:AW10" si="15">AF6</f>
        <v>1.35</v>
      </c>
      <c r="AX6" s="1038">
        <f t="shared" si="7"/>
        <v>0</v>
      </c>
      <c r="AY6" s="1039">
        <f t="shared" si="8"/>
        <v>265356.00000000006</v>
      </c>
      <c r="AZ6" s="1003"/>
    </row>
    <row r="7" spans="1:52" ht="12.75" x14ac:dyDescent="0.2">
      <c r="A7" s="1000" t="s">
        <v>731</v>
      </c>
      <c r="B7" s="1001" t="s">
        <v>319</v>
      </c>
      <c r="C7" s="1041" t="s">
        <v>697</v>
      </c>
      <c r="E7" s="1042"/>
      <c r="F7" s="1033"/>
      <c r="G7" s="1033"/>
      <c r="H7" s="1033"/>
      <c r="I7" s="1033"/>
      <c r="J7" s="1033"/>
      <c r="K7" s="1033"/>
      <c r="L7" s="1033"/>
      <c r="M7" s="1033">
        <v>1</v>
      </c>
      <c r="N7" s="1033">
        <v>1</v>
      </c>
      <c r="O7" s="1033">
        <v>1</v>
      </c>
      <c r="P7" s="1034">
        <v>1</v>
      </c>
      <c r="Q7" s="1033"/>
      <c r="R7" s="1033">
        <v>1</v>
      </c>
      <c r="S7" s="1033">
        <v>1</v>
      </c>
      <c r="T7" s="1033">
        <v>1</v>
      </c>
      <c r="U7" s="1033">
        <v>1</v>
      </c>
      <c r="V7" s="1033"/>
      <c r="W7" s="1033">
        <v>1</v>
      </c>
      <c r="X7" s="1033">
        <v>1</v>
      </c>
      <c r="Y7" s="1033">
        <v>1</v>
      </c>
      <c r="Z7" s="1033">
        <v>1</v>
      </c>
      <c r="AA7" s="1033">
        <v>1</v>
      </c>
      <c r="AB7" s="1033">
        <v>1</v>
      </c>
      <c r="AC7" s="1043">
        <f t="shared" si="0"/>
        <v>294</v>
      </c>
      <c r="AD7" s="1044">
        <f t="shared" si="9"/>
        <v>294</v>
      </c>
      <c r="AE7" s="1045"/>
      <c r="AF7" s="1045">
        <v>0.35000000000000003</v>
      </c>
      <c r="AG7" s="1046">
        <f t="shared" si="10"/>
        <v>102.9</v>
      </c>
      <c r="AH7" s="1047"/>
      <c r="AI7" s="1048">
        <f>$BF$60</f>
        <v>684</v>
      </c>
      <c r="AJ7" s="1049">
        <f t="shared" si="11"/>
        <v>0</v>
      </c>
      <c r="AK7" s="1050">
        <f t="shared" si="1"/>
        <v>70383.600000000006</v>
      </c>
      <c r="AL7" s="1040">
        <f t="shared" si="2"/>
        <v>8.7038829571464971E-3</v>
      </c>
      <c r="AM7" s="1043">
        <f t="shared" si="3"/>
        <v>84</v>
      </c>
      <c r="AN7" s="1044">
        <f t="shared" si="12"/>
        <v>84</v>
      </c>
      <c r="AO7" s="1045"/>
      <c r="AP7" s="1045">
        <f t="shared" si="13"/>
        <v>0.35000000000000003</v>
      </c>
      <c r="AQ7" s="1038">
        <f t="shared" si="4"/>
        <v>0</v>
      </c>
      <c r="AR7" s="1039">
        <f t="shared" si="5"/>
        <v>20109.600000000002</v>
      </c>
      <c r="AT7" s="1043">
        <f t="shared" si="6"/>
        <v>210</v>
      </c>
      <c r="AU7" s="1044">
        <f t="shared" si="14"/>
        <v>210</v>
      </c>
      <c r="AV7" s="1045"/>
      <c r="AW7" s="1045">
        <f t="shared" si="15"/>
        <v>0.35000000000000003</v>
      </c>
      <c r="AX7" s="1038">
        <f t="shared" si="7"/>
        <v>0</v>
      </c>
      <c r="AY7" s="1039">
        <f t="shared" si="8"/>
        <v>50274</v>
      </c>
      <c r="AZ7" s="1003"/>
    </row>
    <row r="8" spans="1:52" ht="13.35" customHeight="1" x14ac:dyDescent="0.2">
      <c r="A8" s="1000" t="s">
        <v>731</v>
      </c>
      <c r="B8" s="1001" t="s">
        <v>320</v>
      </c>
      <c r="C8" s="1041" t="s">
        <v>698</v>
      </c>
      <c r="E8" s="1042"/>
      <c r="F8" s="1033"/>
      <c r="G8" s="1033"/>
      <c r="H8" s="1033"/>
      <c r="I8" s="1033"/>
      <c r="J8" s="1033"/>
      <c r="K8" s="1033"/>
      <c r="L8" s="1033"/>
      <c r="M8" s="1033"/>
      <c r="N8" s="1033"/>
      <c r="O8" s="1033"/>
      <c r="P8" s="1034">
        <v>1</v>
      </c>
      <c r="Q8" s="1033"/>
      <c r="R8" s="1033"/>
      <c r="S8" s="1033"/>
      <c r="T8" s="1033"/>
      <c r="U8" s="1033">
        <v>1</v>
      </c>
      <c r="V8" s="1033"/>
      <c r="W8" s="1033">
        <v>1</v>
      </c>
      <c r="X8" s="1033"/>
      <c r="Y8" s="1033">
        <v>1</v>
      </c>
      <c r="Z8" s="1033"/>
      <c r="AA8" s="1033">
        <v>1</v>
      </c>
      <c r="AB8" s="1033">
        <v>1</v>
      </c>
      <c r="AC8" s="1043">
        <f t="shared" si="0"/>
        <v>126</v>
      </c>
      <c r="AD8" s="1044">
        <f t="shared" si="9"/>
        <v>126</v>
      </c>
      <c r="AE8" s="1045"/>
      <c r="AF8" s="1045">
        <v>0.02</v>
      </c>
      <c r="AG8" s="1046">
        <f t="shared" si="10"/>
        <v>2.52</v>
      </c>
      <c r="AH8" s="1047"/>
      <c r="AI8" s="1048">
        <f>$BF$63</f>
        <v>684</v>
      </c>
      <c r="AJ8" s="1049">
        <f t="shared" si="11"/>
        <v>0</v>
      </c>
      <c r="AK8" s="1050">
        <f t="shared" si="1"/>
        <v>1723.68</v>
      </c>
      <c r="AL8" s="1040">
        <f t="shared" si="2"/>
        <v>2.1315631731787338E-4</v>
      </c>
      <c r="AM8" s="1043">
        <f t="shared" si="3"/>
        <v>21</v>
      </c>
      <c r="AN8" s="1044">
        <f t="shared" si="12"/>
        <v>21</v>
      </c>
      <c r="AO8" s="1045"/>
      <c r="AP8" s="1045">
        <f t="shared" si="13"/>
        <v>0.02</v>
      </c>
      <c r="AQ8" s="1038">
        <f t="shared" si="4"/>
        <v>0</v>
      </c>
      <c r="AR8" s="1039">
        <f t="shared" si="5"/>
        <v>287.27999999999997</v>
      </c>
      <c r="AT8" s="1043">
        <f t="shared" si="6"/>
        <v>105</v>
      </c>
      <c r="AU8" s="1044">
        <f t="shared" si="14"/>
        <v>105</v>
      </c>
      <c r="AV8" s="1045"/>
      <c r="AW8" s="1045">
        <f t="shared" si="15"/>
        <v>0.02</v>
      </c>
      <c r="AX8" s="1038">
        <f t="shared" si="7"/>
        <v>0</v>
      </c>
      <c r="AY8" s="1039">
        <f t="shared" si="8"/>
        <v>1436.4</v>
      </c>
      <c r="AZ8" s="1003"/>
    </row>
    <row r="9" spans="1:52" ht="12.75" x14ac:dyDescent="0.2">
      <c r="A9" s="1000" t="s">
        <v>731</v>
      </c>
      <c r="B9" s="1001" t="s">
        <v>321</v>
      </c>
      <c r="C9" s="1041" t="s">
        <v>699</v>
      </c>
      <c r="E9" s="1042"/>
      <c r="F9" s="1033"/>
      <c r="G9" s="1033"/>
      <c r="H9" s="1033"/>
      <c r="I9" s="1033"/>
      <c r="J9" s="1033"/>
      <c r="K9" s="1033"/>
      <c r="L9" s="1033"/>
      <c r="M9" s="1033"/>
      <c r="N9" s="1033">
        <v>1</v>
      </c>
      <c r="O9" s="1033">
        <v>1</v>
      </c>
      <c r="P9" s="1034">
        <v>1</v>
      </c>
      <c r="Q9" s="1033"/>
      <c r="R9" s="1033">
        <v>1</v>
      </c>
      <c r="S9" s="1033">
        <v>1</v>
      </c>
      <c r="T9" s="1033">
        <v>1</v>
      </c>
      <c r="U9" s="1033">
        <v>1</v>
      </c>
      <c r="V9" s="1033"/>
      <c r="W9" s="1033">
        <v>1</v>
      </c>
      <c r="X9" s="1033"/>
      <c r="Y9" s="1033">
        <v>1</v>
      </c>
      <c r="Z9" s="1033"/>
      <c r="AA9" s="1033"/>
      <c r="AB9" s="1033">
        <v>1</v>
      </c>
      <c r="AC9" s="1043">
        <f t="shared" si="0"/>
        <v>210</v>
      </c>
      <c r="AD9" s="1044">
        <f t="shared" si="9"/>
        <v>210</v>
      </c>
      <c r="AE9" s="1045"/>
      <c r="AF9" s="1045">
        <v>0.75</v>
      </c>
      <c r="AG9" s="1046">
        <f t="shared" si="10"/>
        <v>157.5</v>
      </c>
      <c r="AH9" s="1047"/>
      <c r="AI9" s="1048">
        <f>$BF$59</f>
        <v>780</v>
      </c>
      <c r="AJ9" s="1049">
        <f t="shared" si="11"/>
        <v>0</v>
      </c>
      <c r="AK9" s="1050">
        <f t="shared" si="1"/>
        <v>122850</v>
      </c>
      <c r="AL9" s="1040">
        <f t="shared" si="2"/>
        <v>1.5192062089541415E-2</v>
      </c>
      <c r="AM9" s="1043">
        <f t="shared" si="3"/>
        <v>63</v>
      </c>
      <c r="AN9" s="1044">
        <f t="shared" si="12"/>
        <v>63</v>
      </c>
      <c r="AO9" s="1045"/>
      <c r="AP9" s="1045">
        <f t="shared" si="13"/>
        <v>0.75</v>
      </c>
      <c r="AQ9" s="1038">
        <f t="shared" si="4"/>
        <v>0</v>
      </c>
      <c r="AR9" s="1039">
        <f t="shared" si="5"/>
        <v>36855</v>
      </c>
      <c r="AT9" s="1043">
        <f t="shared" si="6"/>
        <v>147</v>
      </c>
      <c r="AU9" s="1044">
        <f t="shared" si="14"/>
        <v>147</v>
      </c>
      <c r="AV9" s="1045"/>
      <c r="AW9" s="1045">
        <f t="shared" si="15"/>
        <v>0.75</v>
      </c>
      <c r="AX9" s="1038">
        <f t="shared" si="7"/>
        <v>0</v>
      </c>
      <c r="AY9" s="1039">
        <f t="shared" si="8"/>
        <v>85995</v>
      </c>
      <c r="AZ9" s="1003"/>
    </row>
    <row r="10" spans="1:52" ht="12.75" x14ac:dyDescent="0.2">
      <c r="A10" s="1000" t="s">
        <v>731</v>
      </c>
      <c r="B10" s="1001" t="s">
        <v>322</v>
      </c>
      <c r="C10" s="1041" t="s">
        <v>700</v>
      </c>
      <c r="E10" s="1042"/>
      <c r="F10" s="1033"/>
      <c r="G10" s="1033"/>
      <c r="H10" s="1033"/>
      <c r="I10" s="1033"/>
      <c r="J10" s="1033"/>
      <c r="K10" s="1033"/>
      <c r="L10" s="1033"/>
      <c r="M10" s="1033"/>
      <c r="N10" s="1033"/>
      <c r="O10" s="1033"/>
      <c r="P10" s="1034">
        <v>1</v>
      </c>
      <c r="Q10" s="1033"/>
      <c r="R10" s="1033"/>
      <c r="S10" s="1033"/>
      <c r="T10" s="1033"/>
      <c r="U10" s="1033">
        <v>1</v>
      </c>
      <c r="V10" s="1033"/>
      <c r="W10" s="1033"/>
      <c r="X10" s="1033"/>
      <c r="Y10" s="1033">
        <v>1</v>
      </c>
      <c r="Z10" s="1033"/>
      <c r="AA10" s="1033"/>
      <c r="AB10" s="1033">
        <v>1</v>
      </c>
      <c r="AC10" s="1043">
        <f t="shared" si="0"/>
        <v>84</v>
      </c>
      <c r="AD10" s="1044">
        <f t="shared" si="9"/>
        <v>84</v>
      </c>
      <c r="AE10" s="1045"/>
      <c r="AF10" s="1045">
        <v>0.03</v>
      </c>
      <c r="AG10" s="1046">
        <f t="shared" si="10"/>
        <v>2.52</v>
      </c>
      <c r="AH10" s="1047"/>
      <c r="AI10" s="1048">
        <f>$BF$61</f>
        <v>948</v>
      </c>
      <c r="AJ10" s="1049">
        <f t="shared" si="11"/>
        <v>0</v>
      </c>
      <c r="AK10" s="1050">
        <f t="shared" si="1"/>
        <v>2388.96</v>
      </c>
      <c r="AL10" s="1040">
        <f t="shared" si="2"/>
        <v>2.954271766335438E-4</v>
      </c>
      <c r="AM10" s="1043">
        <f t="shared" si="3"/>
        <v>21</v>
      </c>
      <c r="AN10" s="1044">
        <f t="shared" si="12"/>
        <v>21</v>
      </c>
      <c r="AO10" s="1045"/>
      <c r="AP10" s="1045">
        <f t="shared" si="13"/>
        <v>0.03</v>
      </c>
      <c r="AQ10" s="1038">
        <f t="shared" si="4"/>
        <v>0</v>
      </c>
      <c r="AR10" s="1039">
        <f t="shared" si="5"/>
        <v>597.24</v>
      </c>
      <c r="AT10" s="1043">
        <f t="shared" si="6"/>
        <v>63</v>
      </c>
      <c r="AU10" s="1044">
        <f t="shared" si="14"/>
        <v>63</v>
      </c>
      <c r="AV10" s="1045"/>
      <c r="AW10" s="1045">
        <f t="shared" si="15"/>
        <v>0.03</v>
      </c>
      <c r="AX10" s="1038">
        <f t="shared" si="7"/>
        <v>0</v>
      </c>
      <c r="AY10" s="1039">
        <f t="shared" si="8"/>
        <v>1791.7199999999998</v>
      </c>
      <c r="AZ10" s="1003"/>
    </row>
    <row r="11" spans="1:52" ht="12.75" x14ac:dyDescent="0.2">
      <c r="A11" s="1000" t="s">
        <v>731</v>
      </c>
      <c r="C11" s="1029" t="s">
        <v>724</v>
      </c>
      <c r="E11" s="1042"/>
      <c r="F11" s="1033"/>
      <c r="G11" s="1033"/>
      <c r="H11" s="1033"/>
      <c r="I11" s="1033"/>
      <c r="J11" s="1033"/>
      <c r="K11" s="1033"/>
      <c r="L11" s="1033"/>
      <c r="M11" s="1033"/>
      <c r="N11" s="1033"/>
      <c r="O11" s="1033"/>
      <c r="P11" s="1034"/>
      <c r="Q11" s="1033"/>
      <c r="R11" s="1033"/>
      <c r="S11" s="1033"/>
      <c r="T11" s="1033"/>
      <c r="U11" s="1033"/>
      <c r="V11" s="1033"/>
      <c r="W11" s="1033"/>
      <c r="X11" s="1033"/>
      <c r="Y11" s="1033"/>
      <c r="Z11" s="1033"/>
      <c r="AA11" s="1033"/>
      <c r="AB11" s="1033"/>
      <c r="AC11" s="1043"/>
      <c r="AD11" s="1044"/>
      <c r="AE11" s="1051"/>
      <c r="AF11" s="1045"/>
      <c r="AG11" s="1046"/>
      <c r="AH11" s="1047"/>
      <c r="AI11" s="1048"/>
      <c r="AJ11" s="1049"/>
      <c r="AK11" s="1050"/>
      <c r="AL11" s="1040"/>
      <c r="AM11" s="1043"/>
      <c r="AN11" s="1044"/>
      <c r="AO11" s="1045"/>
      <c r="AP11" s="1045"/>
      <c r="AQ11" s="1038"/>
      <c r="AR11" s="1039"/>
      <c r="AT11" s="1043"/>
      <c r="AU11" s="1044"/>
      <c r="AV11" s="1045"/>
      <c r="AW11" s="1045"/>
      <c r="AX11" s="1038"/>
      <c r="AY11" s="1039"/>
      <c r="AZ11" s="1003"/>
    </row>
    <row r="12" spans="1:52" ht="12.75" x14ac:dyDescent="0.2">
      <c r="A12" s="1000" t="s">
        <v>731</v>
      </c>
      <c r="B12" s="1001" t="s">
        <v>317</v>
      </c>
      <c r="C12" s="1041" t="s">
        <v>689</v>
      </c>
      <c r="E12" s="1042">
        <v>1</v>
      </c>
      <c r="F12" s="1033">
        <v>1</v>
      </c>
      <c r="G12" s="1033">
        <v>1</v>
      </c>
      <c r="H12" s="1033">
        <v>1</v>
      </c>
      <c r="I12" s="1033">
        <v>1</v>
      </c>
      <c r="J12" s="1033">
        <v>1</v>
      </c>
      <c r="K12" s="1033">
        <v>1</v>
      </c>
      <c r="L12" s="1033">
        <v>1</v>
      </c>
      <c r="M12" s="1033">
        <v>1</v>
      </c>
      <c r="N12" s="1033">
        <v>1</v>
      </c>
      <c r="O12" s="1033">
        <v>1</v>
      </c>
      <c r="P12" s="1034">
        <v>1</v>
      </c>
      <c r="Q12" s="1033">
        <v>1</v>
      </c>
      <c r="R12" s="1033">
        <v>1</v>
      </c>
      <c r="S12" s="1033">
        <v>1</v>
      </c>
      <c r="T12" s="1033">
        <v>1</v>
      </c>
      <c r="U12" s="1033">
        <v>1</v>
      </c>
      <c r="V12" s="1033">
        <v>1</v>
      </c>
      <c r="W12" s="1033">
        <v>1</v>
      </c>
      <c r="X12" s="1033">
        <v>1</v>
      </c>
      <c r="Y12" s="1033">
        <v>1</v>
      </c>
      <c r="Z12" s="1033">
        <v>1</v>
      </c>
      <c r="AA12" s="1033">
        <v>1</v>
      </c>
      <c r="AB12" s="1033">
        <v>1</v>
      </c>
      <c r="AC12" s="1043">
        <f t="shared" ref="AC12:AC17" si="16">COUNTA(E12:AB12)*21</f>
        <v>504</v>
      </c>
      <c r="AD12" s="1044">
        <f>COUNTA(E12:AB12)*21</f>
        <v>504</v>
      </c>
      <c r="AE12" s="1045"/>
      <c r="AF12" s="1045">
        <v>1.4</v>
      </c>
      <c r="AG12" s="1046">
        <f>AF12*AD12</f>
        <v>705.59999999999991</v>
      </c>
      <c r="AH12" s="1047"/>
      <c r="AI12" s="1048">
        <f>$BF$58</f>
        <v>660</v>
      </c>
      <c r="AJ12" s="1049">
        <f>AC12*AE12*AG12</f>
        <v>0</v>
      </c>
      <c r="AK12" s="1050">
        <f t="shared" ref="AK12:AK17" si="17">AD12*AF12*AI12</f>
        <v>465695.99999999994</v>
      </c>
      <c r="AL12" s="1040">
        <f t="shared" ref="AL12:AL17" si="18">AK12/$AK$90</f>
        <v>5.7589601520969293E-2</v>
      </c>
      <c r="AM12" s="1043">
        <f t="shared" ref="AM12:AM17" si="19">COUNTA(E12:P12)*21</f>
        <v>252</v>
      </c>
      <c r="AN12" s="1044">
        <f>AM12</f>
        <v>252</v>
      </c>
      <c r="AO12" s="1045"/>
      <c r="AP12" s="1045">
        <f>AF12</f>
        <v>1.4</v>
      </c>
      <c r="AQ12" s="1038">
        <f t="shared" ref="AQ12:AQ17" si="20">AM12*AO12*AG12</f>
        <v>0</v>
      </c>
      <c r="AR12" s="1039">
        <f t="shared" ref="AR12:AR17" si="21">AN12*AP12*AI12</f>
        <v>232847.99999999997</v>
      </c>
      <c r="AT12" s="1043">
        <f t="shared" ref="AT12:AT17" si="22">COUNTA(Q12:AB12)*21</f>
        <v>252</v>
      </c>
      <c r="AU12" s="1044">
        <f>AT12</f>
        <v>252</v>
      </c>
      <c r="AV12" s="1045"/>
      <c r="AW12" s="1045">
        <f>AF12</f>
        <v>1.4</v>
      </c>
      <c r="AX12" s="1038">
        <f t="shared" ref="AX12:AX17" si="23">AT12*AV12*AG12</f>
        <v>0</v>
      </c>
      <c r="AY12" s="1039">
        <f t="shared" ref="AY12:AY17" si="24">AU12*AW12*AI12</f>
        <v>232847.99999999997</v>
      </c>
      <c r="AZ12" s="1003"/>
    </row>
    <row r="13" spans="1:52" ht="12.75" x14ac:dyDescent="0.2">
      <c r="A13" s="1000" t="s">
        <v>731</v>
      </c>
      <c r="B13" s="1001" t="s">
        <v>318</v>
      </c>
      <c r="C13" s="1041" t="s">
        <v>690</v>
      </c>
      <c r="E13" s="1042"/>
      <c r="F13" s="1033"/>
      <c r="G13" s="1033"/>
      <c r="H13" s="1033"/>
      <c r="I13" s="1033"/>
      <c r="J13" s="1033"/>
      <c r="K13" s="1033">
        <v>1</v>
      </c>
      <c r="L13" s="1033">
        <v>1</v>
      </c>
      <c r="M13" s="1033">
        <v>1</v>
      </c>
      <c r="N13" s="1033">
        <v>1</v>
      </c>
      <c r="O13" s="1033">
        <v>1</v>
      </c>
      <c r="P13" s="1034">
        <v>1</v>
      </c>
      <c r="Q13" s="1033">
        <v>1</v>
      </c>
      <c r="R13" s="1033">
        <v>1</v>
      </c>
      <c r="S13" s="1033">
        <v>1</v>
      </c>
      <c r="T13" s="1033">
        <v>1</v>
      </c>
      <c r="U13" s="1033">
        <v>1</v>
      </c>
      <c r="V13" s="1033">
        <v>1</v>
      </c>
      <c r="W13" s="1033">
        <v>1</v>
      </c>
      <c r="X13" s="1033">
        <v>1</v>
      </c>
      <c r="Y13" s="1033">
        <v>1</v>
      </c>
      <c r="Z13" s="1033">
        <v>1</v>
      </c>
      <c r="AA13" s="1033">
        <v>1</v>
      </c>
      <c r="AB13" s="1033">
        <v>1</v>
      </c>
      <c r="AC13" s="1043">
        <f t="shared" si="16"/>
        <v>378</v>
      </c>
      <c r="AD13" s="1044">
        <f t="shared" ref="AD13:AD17" si="25">COUNTA(E13:AB13)*21</f>
        <v>378</v>
      </c>
      <c r="AE13" s="1045"/>
      <c r="AF13" s="1045">
        <v>5.5</v>
      </c>
      <c r="AG13" s="1046">
        <f t="shared" ref="AG13:AG17" si="26">AF13*AD13</f>
        <v>2079</v>
      </c>
      <c r="AH13" s="1047"/>
      <c r="AI13" s="1048">
        <f>$BF$59</f>
        <v>780</v>
      </c>
      <c r="AJ13" s="1049">
        <f t="shared" ref="AJ13:AJ17" si="27">AC13*AE13*AG13</f>
        <v>0</v>
      </c>
      <c r="AK13" s="1050">
        <f t="shared" si="17"/>
        <v>1621620</v>
      </c>
      <c r="AL13" s="1040">
        <f t="shared" si="18"/>
        <v>0.20053521958194667</v>
      </c>
      <c r="AM13" s="1043">
        <f t="shared" si="19"/>
        <v>126</v>
      </c>
      <c r="AN13" s="1044">
        <f t="shared" ref="AN13:AN17" si="28">AM13</f>
        <v>126</v>
      </c>
      <c r="AO13" s="1045"/>
      <c r="AP13" s="1045">
        <f t="shared" ref="AP13:AP17" si="29">AF13</f>
        <v>5.5</v>
      </c>
      <c r="AQ13" s="1038">
        <f t="shared" si="20"/>
        <v>0</v>
      </c>
      <c r="AR13" s="1039">
        <f t="shared" si="21"/>
        <v>540540</v>
      </c>
      <c r="AT13" s="1043">
        <f t="shared" si="22"/>
        <v>252</v>
      </c>
      <c r="AU13" s="1044">
        <f t="shared" ref="AU13:AU17" si="30">AT13</f>
        <v>252</v>
      </c>
      <c r="AV13" s="1045"/>
      <c r="AW13" s="1045">
        <f t="shared" ref="AW13:AW17" si="31">AF13</f>
        <v>5.5</v>
      </c>
      <c r="AX13" s="1038">
        <f t="shared" si="23"/>
        <v>0</v>
      </c>
      <c r="AY13" s="1039">
        <f t="shared" si="24"/>
        <v>1081080</v>
      </c>
      <c r="AZ13" s="1003"/>
    </row>
    <row r="14" spans="1:52" ht="12.75" x14ac:dyDescent="0.2">
      <c r="A14" s="1000" t="s">
        <v>731</v>
      </c>
      <c r="B14" s="1001" t="s">
        <v>319</v>
      </c>
      <c r="C14" s="1041" t="s">
        <v>691</v>
      </c>
      <c r="E14" s="1042"/>
      <c r="F14" s="1033"/>
      <c r="G14" s="1033"/>
      <c r="H14" s="1033"/>
      <c r="I14" s="1033"/>
      <c r="J14" s="1033"/>
      <c r="K14" s="1033"/>
      <c r="L14" s="1033"/>
      <c r="M14" s="1033">
        <v>1</v>
      </c>
      <c r="N14" s="1033">
        <v>1</v>
      </c>
      <c r="O14" s="1033">
        <v>1</v>
      </c>
      <c r="P14" s="1034">
        <v>1</v>
      </c>
      <c r="Q14" s="1033"/>
      <c r="R14" s="1033">
        <v>1</v>
      </c>
      <c r="S14" s="1033">
        <v>1</v>
      </c>
      <c r="T14" s="1033">
        <v>1</v>
      </c>
      <c r="U14" s="1033">
        <v>1</v>
      </c>
      <c r="V14" s="1033"/>
      <c r="W14" s="1033">
        <v>1</v>
      </c>
      <c r="X14" s="1033">
        <v>1</v>
      </c>
      <c r="Y14" s="1033">
        <v>1</v>
      </c>
      <c r="Z14" s="1033">
        <v>1</v>
      </c>
      <c r="AA14" s="1033">
        <v>1</v>
      </c>
      <c r="AB14" s="1033">
        <v>1</v>
      </c>
      <c r="AC14" s="1043">
        <f t="shared" si="16"/>
        <v>294</v>
      </c>
      <c r="AD14" s="1044">
        <f t="shared" si="25"/>
        <v>294</v>
      </c>
      <c r="AE14" s="1045"/>
      <c r="AF14" s="1045">
        <v>1.4</v>
      </c>
      <c r="AG14" s="1046">
        <f t="shared" si="26"/>
        <v>411.59999999999997</v>
      </c>
      <c r="AH14" s="1047"/>
      <c r="AI14" s="1048">
        <f>$BF$60</f>
        <v>684</v>
      </c>
      <c r="AJ14" s="1049">
        <f t="shared" si="27"/>
        <v>0</v>
      </c>
      <c r="AK14" s="1050">
        <f t="shared" si="17"/>
        <v>281534.39999999997</v>
      </c>
      <c r="AL14" s="1040">
        <f t="shared" si="18"/>
        <v>3.4815531828585981E-2</v>
      </c>
      <c r="AM14" s="1043">
        <f t="shared" si="19"/>
        <v>84</v>
      </c>
      <c r="AN14" s="1044">
        <f t="shared" si="28"/>
        <v>84</v>
      </c>
      <c r="AO14" s="1045"/>
      <c r="AP14" s="1045">
        <f t="shared" si="29"/>
        <v>1.4</v>
      </c>
      <c r="AQ14" s="1038">
        <f t="shared" si="20"/>
        <v>0</v>
      </c>
      <c r="AR14" s="1039">
        <f t="shared" si="21"/>
        <v>80438.399999999994</v>
      </c>
      <c r="AT14" s="1043">
        <f t="shared" si="22"/>
        <v>210</v>
      </c>
      <c r="AU14" s="1044">
        <f t="shared" si="30"/>
        <v>210</v>
      </c>
      <c r="AV14" s="1045"/>
      <c r="AW14" s="1045">
        <f t="shared" si="31"/>
        <v>1.4</v>
      </c>
      <c r="AX14" s="1038">
        <f t="shared" si="23"/>
        <v>0</v>
      </c>
      <c r="AY14" s="1039">
        <f t="shared" si="24"/>
        <v>201096</v>
      </c>
      <c r="AZ14" s="1003"/>
    </row>
    <row r="15" spans="1:52" ht="13.35" customHeight="1" x14ac:dyDescent="0.2">
      <c r="A15" s="1000" t="s">
        <v>731</v>
      </c>
      <c r="B15" s="1001" t="s">
        <v>320</v>
      </c>
      <c r="C15" s="1041" t="s">
        <v>692</v>
      </c>
      <c r="E15" s="1042"/>
      <c r="F15" s="1033"/>
      <c r="G15" s="1033"/>
      <c r="H15" s="1033"/>
      <c r="I15" s="1033"/>
      <c r="J15" s="1033"/>
      <c r="K15" s="1033"/>
      <c r="L15" s="1033"/>
      <c r="M15" s="1033"/>
      <c r="N15" s="1033"/>
      <c r="O15" s="1033"/>
      <c r="P15" s="1034">
        <v>1</v>
      </c>
      <c r="Q15" s="1033"/>
      <c r="R15" s="1033"/>
      <c r="S15" s="1033"/>
      <c r="T15" s="1033"/>
      <c r="U15" s="1033">
        <v>1</v>
      </c>
      <c r="V15" s="1033"/>
      <c r="W15" s="1033">
        <v>1</v>
      </c>
      <c r="X15" s="1033"/>
      <c r="Y15" s="1033">
        <v>1</v>
      </c>
      <c r="Z15" s="1033"/>
      <c r="AA15" s="1033">
        <v>1</v>
      </c>
      <c r="AB15" s="1033">
        <v>1</v>
      </c>
      <c r="AC15" s="1043">
        <f t="shared" si="16"/>
        <v>126</v>
      </c>
      <c r="AD15" s="1044">
        <f t="shared" si="25"/>
        <v>126</v>
      </c>
      <c r="AE15" s="1045"/>
      <c r="AF15" s="1045">
        <v>6.0000000000000005E-2</v>
      </c>
      <c r="AG15" s="1046">
        <f t="shared" si="26"/>
        <v>7.5600000000000005</v>
      </c>
      <c r="AH15" s="1047"/>
      <c r="AI15" s="1048">
        <f>$BF$63</f>
        <v>684</v>
      </c>
      <c r="AJ15" s="1049">
        <f t="shared" si="27"/>
        <v>0</v>
      </c>
      <c r="AK15" s="1050">
        <f t="shared" si="17"/>
        <v>5171.04</v>
      </c>
      <c r="AL15" s="1040">
        <f t="shared" si="18"/>
        <v>6.3946895195362012E-4</v>
      </c>
      <c r="AM15" s="1043">
        <f t="shared" si="19"/>
        <v>21</v>
      </c>
      <c r="AN15" s="1044">
        <f t="shared" si="28"/>
        <v>21</v>
      </c>
      <c r="AO15" s="1045"/>
      <c r="AP15" s="1045">
        <f t="shared" si="29"/>
        <v>6.0000000000000005E-2</v>
      </c>
      <c r="AQ15" s="1038">
        <f t="shared" si="20"/>
        <v>0</v>
      </c>
      <c r="AR15" s="1039">
        <f t="shared" si="21"/>
        <v>861.84</v>
      </c>
      <c r="AT15" s="1043">
        <f t="shared" si="22"/>
        <v>105</v>
      </c>
      <c r="AU15" s="1044">
        <f t="shared" si="30"/>
        <v>105</v>
      </c>
      <c r="AV15" s="1045"/>
      <c r="AW15" s="1045">
        <f t="shared" si="31"/>
        <v>6.0000000000000005E-2</v>
      </c>
      <c r="AX15" s="1038">
        <f t="shared" si="23"/>
        <v>0</v>
      </c>
      <c r="AY15" s="1039">
        <f t="shared" si="24"/>
        <v>4309.2000000000007</v>
      </c>
      <c r="AZ15" s="1003"/>
    </row>
    <row r="16" spans="1:52" ht="12.75" x14ac:dyDescent="0.2">
      <c r="A16" s="1000" t="s">
        <v>731</v>
      </c>
      <c r="B16" s="1001" t="s">
        <v>321</v>
      </c>
      <c r="C16" s="1041" t="s">
        <v>693</v>
      </c>
      <c r="E16" s="1042"/>
      <c r="F16" s="1033"/>
      <c r="G16" s="1033"/>
      <c r="H16" s="1033"/>
      <c r="I16" s="1033"/>
      <c r="J16" s="1033"/>
      <c r="K16" s="1033"/>
      <c r="L16" s="1033"/>
      <c r="M16" s="1033"/>
      <c r="N16" s="1033">
        <v>1</v>
      </c>
      <c r="O16" s="1033">
        <v>1</v>
      </c>
      <c r="P16" s="1034">
        <v>1</v>
      </c>
      <c r="Q16" s="1033"/>
      <c r="R16" s="1033">
        <v>1</v>
      </c>
      <c r="S16" s="1033">
        <v>1</v>
      </c>
      <c r="T16" s="1033">
        <v>1</v>
      </c>
      <c r="U16" s="1033">
        <v>1</v>
      </c>
      <c r="V16" s="1033"/>
      <c r="W16" s="1033">
        <v>1</v>
      </c>
      <c r="X16" s="1033"/>
      <c r="Y16" s="1033">
        <v>1</v>
      </c>
      <c r="Z16" s="1033"/>
      <c r="AA16" s="1033"/>
      <c r="AB16" s="1033">
        <v>1</v>
      </c>
      <c r="AC16" s="1043">
        <f t="shared" si="16"/>
        <v>210</v>
      </c>
      <c r="AD16" s="1044">
        <f t="shared" si="25"/>
        <v>210</v>
      </c>
      <c r="AE16" s="1045"/>
      <c r="AF16" s="1045">
        <v>3</v>
      </c>
      <c r="AG16" s="1046">
        <f t="shared" si="26"/>
        <v>630</v>
      </c>
      <c r="AH16" s="1047"/>
      <c r="AI16" s="1048">
        <f>$BF$59</f>
        <v>780</v>
      </c>
      <c r="AJ16" s="1049">
        <f t="shared" si="27"/>
        <v>0</v>
      </c>
      <c r="AK16" s="1050">
        <f t="shared" si="17"/>
        <v>491400</v>
      </c>
      <c r="AL16" s="1040">
        <f t="shared" si="18"/>
        <v>6.0768248358165661E-2</v>
      </c>
      <c r="AM16" s="1043">
        <f t="shared" si="19"/>
        <v>63</v>
      </c>
      <c r="AN16" s="1044">
        <f t="shared" si="28"/>
        <v>63</v>
      </c>
      <c r="AO16" s="1045"/>
      <c r="AP16" s="1045">
        <f t="shared" si="29"/>
        <v>3</v>
      </c>
      <c r="AQ16" s="1038">
        <f t="shared" si="20"/>
        <v>0</v>
      </c>
      <c r="AR16" s="1039">
        <f t="shared" si="21"/>
        <v>147420</v>
      </c>
      <c r="AT16" s="1043">
        <f t="shared" si="22"/>
        <v>147</v>
      </c>
      <c r="AU16" s="1044">
        <f t="shared" si="30"/>
        <v>147</v>
      </c>
      <c r="AV16" s="1045"/>
      <c r="AW16" s="1045">
        <f t="shared" si="31"/>
        <v>3</v>
      </c>
      <c r="AX16" s="1038">
        <f t="shared" si="23"/>
        <v>0</v>
      </c>
      <c r="AY16" s="1039">
        <f t="shared" si="24"/>
        <v>343980</v>
      </c>
      <c r="AZ16" s="1003"/>
    </row>
    <row r="17" spans="1:52" ht="12.75" x14ac:dyDescent="0.2">
      <c r="A17" s="1000" t="s">
        <v>731</v>
      </c>
      <c r="B17" s="1001" t="s">
        <v>322</v>
      </c>
      <c r="C17" s="1041" t="s">
        <v>694</v>
      </c>
      <c r="E17" s="1042"/>
      <c r="F17" s="1033"/>
      <c r="G17" s="1033"/>
      <c r="H17" s="1033"/>
      <c r="I17" s="1033"/>
      <c r="J17" s="1033"/>
      <c r="K17" s="1033"/>
      <c r="L17" s="1033"/>
      <c r="M17" s="1033"/>
      <c r="N17" s="1033"/>
      <c r="O17" s="1033"/>
      <c r="P17" s="1034">
        <v>1</v>
      </c>
      <c r="Q17" s="1033"/>
      <c r="R17" s="1033"/>
      <c r="S17" s="1033"/>
      <c r="T17" s="1033"/>
      <c r="U17" s="1033">
        <v>1</v>
      </c>
      <c r="V17" s="1033"/>
      <c r="W17" s="1033"/>
      <c r="X17" s="1033"/>
      <c r="Y17" s="1033">
        <v>1</v>
      </c>
      <c r="Z17" s="1033"/>
      <c r="AA17" s="1033"/>
      <c r="AB17" s="1033">
        <v>1</v>
      </c>
      <c r="AC17" s="1043">
        <f t="shared" si="16"/>
        <v>84</v>
      </c>
      <c r="AD17" s="1044">
        <f t="shared" si="25"/>
        <v>84</v>
      </c>
      <c r="AE17" s="1045"/>
      <c r="AF17" s="1045">
        <v>0.12</v>
      </c>
      <c r="AG17" s="1046">
        <f t="shared" si="26"/>
        <v>10.08</v>
      </c>
      <c r="AH17" s="1047"/>
      <c r="AI17" s="1048">
        <f>$BF$61</f>
        <v>948</v>
      </c>
      <c r="AJ17" s="1049">
        <f t="shared" si="27"/>
        <v>0</v>
      </c>
      <c r="AK17" s="1050">
        <f t="shared" si="17"/>
        <v>9555.84</v>
      </c>
      <c r="AL17" s="1040">
        <f t="shared" si="18"/>
        <v>1.1817087065341752E-3</v>
      </c>
      <c r="AM17" s="1043">
        <f t="shared" si="19"/>
        <v>21</v>
      </c>
      <c r="AN17" s="1044">
        <f t="shared" si="28"/>
        <v>21</v>
      </c>
      <c r="AO17" s="1045"/>
      <c r="AP17" s="1045">
        <f t="shared" si="29"/>
        <v>0.12</v>
      </c>
      <c r="AQ17" s="1038">
        <f t="shared" si="20"/>
        <v>0</v>
      </c>
      <c r="AR17" s="1039">
        <f t="shared" si="21"/>
        <v>2388.96</v>
      </c>
      <c r="AT17" s="1043">
        <f t="shared" si="22"/>
        <v>63</v>
      </c>
      <c r="AU17" s="1044">
        <f t="shared" si="30"/>
        <v>63</v>
      </c>
      <c r="AV17" s="1045"/>
      <c r="AW17" s="1045">
        <f t="shared" si="31"/>
        <v>0.12</v>
      </c>
      <c r="AX17" s="1038">
        <f t="shared" si="23"/>
        <v>0</v>
      </c>
      <c r="AY17" s="1039">
        <f t="shared" si="24"/>
        <v>7166.8799999999992</v>
      </c>
      <c r="AZ17" s="1003"/>
    </row>
    <row r="18" spans="1:52" ht="12.75" x14ac:dyDescent="0.2">
      <c r="A18" s="1000" t="s">
        <v>731</v>
      </c>
      <c r="C18" s="1029" t="s">
        <v>701</v>
      </c>
      <c r="E18" s="1042"/>
      <c r="F18" s="1033"/>
      <c r="G18" s="1033"/>
      <c r="H18" s="1033"/>
      <c r="I18" s="1033"/>
      <c r="J18" s="1033"/>
      <c r="K18" s="1033"/>
      <c r="L18" s="1033"/>
      <c r="M18" s="1033"/>
      <c r="N18" s="1033"/>
      <c r="O18" s="1033"/>
      <c r="P18" s="1034"/>
      <c r="Q18" s="1033"/>
      <c r="R18" s="1033"/>
      <c r="S18" s="1033"/>
      <c r="T18" s="1033"/>
      <c r="U18" s="1033"/>
      <c r="V18" s="1033"/>
      <c r="W18" s="1033"/>
      <c r="X18" s="1033"/>
      <c r="Y18" s="1033"/>
      <c r="Z18" s="1033"/>
      <c r="AA18" s="1033"/>
      <c r="AB18" s="1033"/>
      <c r="AC18" s="1043"/>
      <c r="AD18" s="1044"/>
      <c r="AE18" s="1051"/>
      <c r="AF18" s="1045"/>
      <c r="AG18" s="1046"/>
      <c r="AH18" s="1047"/>
      <c r="AI18" s="1048"/>
      <c r="AJ18" s="1049"/>
      <c r="AK18" s="1050"/>
      <c r="AL18" s="1040"/>
      <c r="AM18" s="1043"/>
      <c r="AN18" s="1044"/>
      <c r="AO18" s="1045"/>
      <c r="AP18" s="1045"/>
      <c r="AQ18" s="1038"/>
      <c r="AR18" s="1039"/>
      <c r="AT18" s="1043"/>
      <c r="AU18" s="1044"/>
      <c r="AV18" s="1045"/>
      <c r="AW18" s="1045"/>
      <c r="AX18" s="1038"/>
      <c r="AY18" s="1039"/>
      <c r="AZ18" s="1003"/>
    </row>
    <row r="19" spans="1:52" ht="12.75" x14ac:dyDescent="0.2">
      <c r="A19" s="1000" t="s">
        <v>731</v>
      </c>
      <c r="B19" s="1001" t="s">
        <v>317</v>
      </c>
      <c r="C19" s="1041" t="s">
        <v>689</v>
      </c>
      <c r="E19" s="1042">
        <v>1</v>
      </c>
      <c r="F19" s="1033">
        <v>1</v>
      </c>
      <c r="G19" s="1033">
        <v>1</v>
      </c>
      <c r="H19" s="1033">
        <v>1</v>
      </c>
      <c r="I19" s="1033">
        <v>1</v>
      </c>
      <c r="J19" s="1033">
        <v>1</v>
      </c>
      <c r="K19" s="1033">
        <v>1</v>
      </c>
      <c r="L19" s="1033">
        <v>1</v>
      </c>
      <c r="M19" s="1033">
        <v>1</v>
      </c>
      <c r="N19" s="1033">
        <v>1</v>
      </c>
      <c r="O19" s="1033">
        <v>1</v>
      </c>
      <c r="P19" s="1034">
        <v>1</v>
      </c>
      <c r="Q19" s="1033">
        <v>1</v>
      </c>
      <c r="R19" s="1033">
        <v>1</v>
      </c>
      <c r="S19" s="1033">
        <v>1</v>
      </c>
      <c r="T19" s="1033">
        <v>1</v>
      </c>
      <c r="U19" s="1033">
        <v>1</v>
      </c>
      <c r="V19" s="1033">
        <v>1</v>
      </c>
      <c r="W19" s="1033">
        <v>1</v>
      </c>
      <c r="X19" s="1033">
        <v>1</v>
      </c>
      <c r="Y19" s="1033">
        <v>1</v>
      </c>
      <c r="Z19" s="1033">
        <v>1</v>
      </c>
      <c r="AA19" s="1033">
        <v>1</v>
      </c>
      <c r="AB19" s="1033">
        <v>1</v>
      </c>
      <c r="AC19" s="1043">
        <f t="shared" ref="AC19:AC24" si="32">COUNTA(E19:AB19)*21</f>
        <v>504</v>
      </c>
      <c r="AD19" s="1044">
        <f>COUNTA(E19:AB19)*21</f>
        <v>504</v>
      </c>
      <c r="AE19" s="1045"/>
      <c r="AF19" s="1045">
        <v>0.32</v>
      </c>
      <c r="AG19" s="1046">
        <f>AF19*AD19</f>
        <v>161.28</v>
      </c>
      <c r="AH19" s="1047"/>
      <c r="AI19" s="1048">
        <f>$BF$58</f>
        <v>660</v>
      </c>
      <c r="AJ19" s="1049">
        <f>AC19*AE19*AG19</f>
        <v>0</v>
      </c>
      <c r="AK19" s="1050">
        <f t="shared" ref="AK19:AK24" si="33">AD19*AF19*AI19</f>
        <v>106444.8</v>
      </c>
      <c r="AL19" s="1040">
        <f t="shared" ref="AL19:AL24" si="34">AK19/$AK$90</f>
        <v>1.3163337490507269E-2</v>
      </c>
      <c r="AM19" s="1043">
        <f t="shared" ref="AM19:AM24" si="35">COUNTA(E19:P19)*21</f>
        <v>252</v>
      </c>
      <c r="AN19" s="1044">
        <f>AM19</f>
        <v>252</v>
      </c>
      <c r="AO19" s="1045"/>
      <c r="AP19" s="1045">
        <f>AF19</f>
        <v>0.32</v>
      </c>
      <c r="AQ19" s="1038">
        <f t="shared" ref="AQ19:AQ24" si="36">AM19*AO19*AG19</f>
        <v>0</v>
      </c>
      <c r="AR19" s="1039">
        <f t="shared" ref="AR19:AR24" si="37">AN19*AP19*AI19</f>
        <v>53222.400000000001</v>
      </c>
      <c r="AT19" s="1043">
        <f t="shared" ref="AT19:AT24" si="38">COUNTA(Q19:AB19)*21</f>
        <v>252</v>
      </c>
      <c r="AU19" s="1044">
        <f>AT19</f>
        <v>252</v>
      </c>
      <c r="AV19" s="1045"/>
      <c r="AW19" s="1045">
        <f>AF19</f>
        <v>0.32</v>
      </c>
      <c r="AX19" s="1038">
        <f t="shared" ref="AX19:AX24" si="39">AT19*AV19*AG19</f>
        <v>0</v>
      </c>
      <c r="AY19" s="1039">
        <f t="shared" ref="AY19:AY24" si="40">AU19*AW19*AI19</f>
        <v>53222.400000000001</v>
      </c>
      <c r="AZ19" s="1003"/>
    </row>
    <row r="20" spans="1:52" ht="12.75" x14ac:dyDescent="0.2">
      <c r="A20" s="1000" t="s">
        <v>731</v>
      </c>
      <c r="B20" s="1001" t="s">
        <v>318</v>
      </c>
      <c r="C20" s="1041" t="s">
        <v>690</v>
      </c>
      <c r="E20" s="1042"/>
      <c r="F20" s="1033"/>
      <c r="G20" s="1033"/>
      <c r="H20" s="1033"/>
      <c r="I20" s="1033"/>
      <c r="J20" s="1033"/>
      <c r="K20" s="1033">
        <v>1</v>
      </c>
      <c r="L20" s="1033">
        <v>1</v>
      </c>
      <c r="M20" s="1033">
        <v>1</v>
      </c>
      <c r="N20" s="1033">
        <v>1</v>
      </c>
      <c r="O20" s="1033">
        <v>1</v>
      </c>
      <c r="P20" s="1034">
        <v>1</v>
      </c>
      <c r="Q20" s="1033">
        <v>1</v>
      </c>
      <c r="R20" s="1033">
        <v>1</v>
      </c>
      <c r="S20" s="1033">
        <v>1</v>
      </c>
      <c r="T20" s="1033">
        <v>1</v>
      </c>
      <c r="U20" s="1033">
        <v>1</v>
      </c>
      <c r="V20" s="1033">
        <v>1</v>
      </c>
      <c r="W20" s="1033">
        <v>1</v>
      </c>
      <c r="X20" s="1033">
        <v>1</v>
      </c>
      <c r="Y20" s="1033">
        <v>1</v>
      </c>
      <c r="Z20" s="1033">
        <v>1</v>
      </c>
      <c r="AA20" s="1033">
        <v>1</v>
      </c>
      <c r="AB20" s="1033">
        <v>1</v>
      </c>
      <c r="AC20" s="1043">
        <f t="shared" si="32"/>
        <v>378</v>
      </c>
      <c r="AD20" s="1044">
        <f t="shared" ref="AD20:AD24" si="41">COUNTA(E20:AB20)*21</f>
        <v>378</v>
      </c>
      <c r="AE20" s="1045"/>
      <c r="AF20" s="1045">
        <v>1.25</v>
      </c>
      <c r="AG20" s="1046">
        <f t="shared" ref="AG20:AG24" si="42">AF20*AD20</f>
        <v>472.5</v>
      </c>
      <c r="AH20" s="1047"/>
      <c r="AI20" s="1048">
        <f>$BF$59</f>
        <v>780</v>
      </c>
      <c r="AJ20" s="1049">
        <f t="shared" ref="AJ20:AJ24" si="43">AC20*AE20*AG20</f>
        <v>0</v>
      </c>
      <c r="AK20" s="1050">
        <f t="shared" si="33"/>
        <v>368550</v>
      </c>
      <c r="AL20" s="1040">
        <f t="shared" si="34"/>
        <v>4.5576186268624246E-2</v>
      </c>
      <c r="AM20" s="1043">
        <f t="shared" si="35"/>
        <v>126</v>
      </c>
      <c r="AN20" s="1044">
        <f t="shared" ref="AN20:AN24" si="44">AM20</f>
        <v>126</v>
      </c>
      <c r="AO20" s="1045"/>
      <c r="AP20" s="1045">
        <f t="shared" ref="AP20:AP24" si="45">AF20</f>
        <v>1.25</v>
      </c>
      <c r="AQ20" s="1038">
        <f t="shared" si="36"/>
        <v>0</v>
      </c>
      <c r="AR20" s="1039">
        <f t="shared" si="37"/>
        <v>122850</v>
      </c>
      <c r="AT20" s="1043">
        <f t="shared" si="38"/>
        <v>252</v>
      </c>
      <c r="AU20" s="1044">
        <f t="shared" ref="AU20:AU24" si="46">AT20</f>
        <v>252</v>
      </c>
      <c r="AV20" s="1045"/>
      <c r="AW20" s="1045">
        <f t="shared" ref="AW20:AW24" si="47">AF20</f>
        <v>1.25</v>
      </c>
      <c r="AX20" s="1038">
        <f t="shared" si="39"/>
        <v>0</v>
      </c>
      <c r="AY20" s="1039">
        <f t="shared" si="40"/>
        <v>245700</v>
      </c>
      <c r="AZ20" s="1003"/>
    </row>
    <row r="21" spans="1:52" ht="12.75" x14ac:dyDescent="0.2">
      <c r="A21" s="1000" t="s">
        <v>731</v>
      </c>
      <c r="B21" s="1001" t="s">
        <v>319</v>
      </c>
      <c r="C21" s="1041" t="s">
        <v>691</v>
      </c>
      <c r="E21" s="1042"/>
      <c r="F21" s="1033"/>
      <c r="G21" s="1033"/>
      <c r="H21" s="1033"/>
      <c r="I21" s="1033"/>
      <c r="J21" s="1033"/>
      <c r="K21" s="1033"/>
      <c r="L21" s="1033"/>
      <c r="M21" s="1033">
        <v>1</v>
      </c>
      <c r="N21" s="1033">
        <v>1</v>
      </c>
      <c r="O21" s="1033">
        <v>1</v>
      </c>
      <c r="P21" s="1034">
        <v>1</v>
      </c>
      <c r="Q21" s="1033"/>
      <c r="R21" s="1033">
        <v>1</v>
      </c>
      <c r="S21" s="1033">
        <v>1</v>
      </c>
      <c r="T21" s="1033">
        <v>1</v>
      </c>
      <c r="U21" s="1033">
        <v>1</v>
      </c>
      <c r="V21" s="1033"/>
      <c r="W21" s="1033">
        <v>1</v>
      </c>
      <c r="X21" s="1033">
        <v>1</v>
      </c>
      <c r="Y21" s="1033">
        <v>1</v>
      </c>
      <c r="Z21" s="1033">
        <v>1</v>
      </c>
      <c r="AA21" s="1033">
        <v>1</v>
      </c>
      <c r="AB21" s="1033">
        <v>1</v>
      </c>
      <c r="AC21" s="1043">
        <f t="shared" si="32"/>
        <v>294</v>
      </c>
      <c r="AD21" s="1044">
        <f t="shared" si="41"/>
        <v>294</v>
      </c>
      <c r="AE21" s="1045"/>
      <c r="AF21" s="1045">
        <v>0.32</v>
      </c>
      <c r="AG21" s="1046">
        <f t="shared" si="42"/>
        <v>94.08</v>
      </c>
      <c r="AH21" s="1047"/>
      <c r="AI21" s="1048">
        <f>$BF$60</f>
        <v>684</v>
      </c>
      <c r="AJ21" s="1049">
        <f t="shared" si="43"/>
        <v>0</v>
      </c>
      <c r="AK21" s="1050">
        <f t="shared" si="33"/>
        <v>64350.720000000001</v>
      </c>
      <c r="AL21" s="1040">
        <f t="shared" si="34"/>
        <v>7.9578358465339401E-3</v>
      </c>
      <c r="AM21" s="1043">
        <f t="shared" si="35"/>
        <v>84</v>
      </c>
      <c r="AN21" s="1044">
        <f t="shared" si="44"/>
        <v>84</v>
      </c>
      <c r="AO21" s="1045"/>
      <c r="AP21" s="1045">
        <f t="shared" si="45"/>
        <v>0.32</v>
      </c>
      <c r="AQ21" s="1038">
        <f t="shared" si="36"/>
        <v>0</v>
      </c>
      <c r="AR21" s="1039">
        <f t="shared" si="37"/>
        <v>18385.919999999998</v>
      </c>
      <c r="AT21" s="1043">
        <f t="shared" si="38"/>
        <v>210</v>
      </c>
      <c r="AU21" s="1044">
        <f t="shared" si="46"/>
        <v>210</v>
      </c>
      <c r="AV21" s="1045"/>
      <c r="AW21" s="1045">
        <f t="shared" si="47"/>
        <v>0.32</v>
      </c>
      <c r="AX21" s="1038">
        <f t="shared" si="39"/>
        <v>0</v>
      </c>
      <c r="AY21" s="1039">
        <f t="shared" si="40"/>
        <v>45964.800000000003</v>
      </c>
      <c r="AZ21" s="1003"/>
    </row>
    <row r="22" spans="1:52" ht="13.35" customHeight="1" x14ac:dyDescent="0.2">
      <c r="A22" s="1000" t="s">
        <v>731</v>
      </c>
      <c r="B22" s="1001" t="s">
        <v>320</v>
      </c>
      <c r="C22" s="1041" t="s">
        <v>692</v>
      </c>
      <c r="E22" s="1042"/>
      <c r="F22" s="1033"/>
      <c r="G22" s="1033"/>
      <c r="H22" s="1033"/>
      <c r="I22" s="1033"/>
      <c r="J22" s="1033"/>
      <c r="K22" s="1033"/>
      <c r="L22" s="1033"/>
      <c r="M22" s="1033"/>
      <c r="N22" s="1033"/>
      <c r="O22" s="1033"/>
      <c r="P22" s="1034">
        <v>1</v>
      </c>
      <c r="Q22" s="1033"/>
      <c r="R22" s="1033"/>
      <c r="S22" s="1033"/>
      <c r="T22" s="1033"/>
      <c r="U22" s="1033">
        <v>1</v>
      </c>
      <c r="V22" s="1033"/>
      <c r="W22" s="1033">
        <v>1</v>
      </c>
      <c r="X22" s="1033"/>
      <c r="Y22" s="1033">
        <v>1</v>
      </c>
      <c r="Z22" s="1033"/>
      <c r="AA22" s="1033">
        <v>1</v>
      </c>
      <c r="AB22" s="1033">
        <v>1</v>
      </c>
      <c r="AC22" s="1043">
        <f t="shared" si="32"/>
        <v>126</v>
      </c>
      <c r="AD22" s="1044">
        <f t="shared" si="41"/>
        <v>126</v>
      </c>
      <c r="AE22" s="1045"/>
      <c r="AF22" s="1045">
        <v>0.02</v>
      </c>
      <c r="AG22" s="1046">
        <f t="shared" si="42"/>
        <v>2.52</v>
      </c>
      <c r="AH22" s="1047"/>
      <c r="AI22" s="1048">
        <f>$BF$63</f>
        <v>684</v>
      </c>
      <c r="AJ22" s="1049">
        <f t="shared" si="43"/>
        <v>0</v>
      </c>
      <c r="AK22" s="1050">
        <f t="shared" si="33"/>
        <v>1723.68</v>
      </c>
      <c r="AL22" s="1040">
        <f t="shared" si="34"/>
        <v>2.1315631731787338E-4</v>
      </c>
      <c r="AM22" s="1043">
        <f t="shared" si="35"/>
        <v>21</v>
      </c>
      <c r="AN22" s="1044">
        <f t="shared" si="44"/>
        <v>21</v>
      </c>
      <c r="AO22" s="1045"/>
      <c r="AP22" s="1045">
        <f t="shared" si="45"/>
        <v>0.02</v>
      </c>
      <c r="AQ22" s="1038">
        <f t="shared" si="36"/>
        <v>0</v>
      </c>
      <c r="AR22" s="1039">
        <f t="shared" si="37"/>
        <v>287.27999999999997</v>
      </c>
      <c r="AT22" s="1043">
        <f t="shared" si="38"/>
        <v>105</v>
      </c>
      <c r="AU22" s="1044">
        <f t="shared" si="46"/>
        <v>105</v>
      </c>
      <c r="AV22" s="1045"/>
      <c r="AW22" s="1045">
        <f t="shared" si="47"/>
        <v>0.02</v>
      </c>
      <c r="AX22" s="1038">
        <f t="shared" si="39"/>
        <v>0</v>
      </c>
      <c r="AY22" s="1039">
        <f t="shared" si="40"/>
        <v>1436.4</v>
      </c>
      <c r="AZ22" s="1003"/>
    </row>
    <row r="23" spans="1:52" ht="12.75" x14ac:dyDescent="0.2">
      <c r="A23" s="1000" t="s">
        <v>731</v>
      </c>
      <c r="B23" s="1001" t="s">
        <v>321</v>
      </c>
      <c r="C23" s="1041" t="s">
        <v>693</v>
      </c>
      <c r="E23" s="1042"/>
      <c r="F23" s="1033"/>
      <c r="G23" s="1033"/>
      <c r="H23" s="1033"/>
      <c r="I23" s="1033"/>
      <c r="J23" s="1033"/>
      <c r="K23" s="1033"/>
      <c r="L23" s="1033"/>
      <c r="M23" s="1033"/>
      <c r="N23" s="1033">
        <v>1</v>
      </c>
      <c r="O23" s="1033">
        <v>1</v>
      </c>
      <c r="P23" s="1034">
        <v>1</v>
      </c>
      <c r="Q23" s="1033"/>
      <c r="R23" s="1033">
        <v>1</v>
      </c>
      <c r="S23" s="1033">
        <v>1</v>
      </c>
      <c r="T23" s="1033">
        <v>1</v>
      </c>
      <c r="U23" s="1033">
        <v>1</v>
      </c>
      <c r="V23" s="1033"/>
      <c r="W23" s="1033">
        <v>1</v>
      </c>
      <c r="X23" s="1033"/>
      <c r="Y23" s="1033">
        <v>1</v>
      </c>
      <c r="Z23" s="1033"/>
      <c r="AA23" s="1033"/>
      <c r="AB23" s="1033">
        <v>1</v>
      </c>
      <c r="AC23" s="1043">
        <f t="shared" si="32"/>
        <v>210</v>
      </c>
      <c r="AD23" s="1044">
        <f t="shared" si="41"/>
        <v>210</v>
      </c>
      <c r="AE23" s="1045"/>
      <c r="AF23" s="1045">
        <v>0.69000000000000006</v>
      </c>
      <c r="AG23" s="1046">
        <f t="shared" si="42"/>
        <v>144.9</v>
      </c>
      <c r="AH23" s="1047"/>
      <c r="AI23" s="1048">
        <f>$BF$59</f>
        <v>780</v>
      </c>
      <c r="AJ23" s="1049">
        <f t="shared" si="43"/>
        <v>0</v>
      </c>
      <c r="AK23" s="1050">
        <f t="shared" si="33"/>
        <v>113022</v>
      </c>
      <c r="AL23" s="1040">
        <f t="shared" si="34"/>
        <v>1.39766971223781E-2</v>
      </c>
      <c r="AM23" s="1043">
        <f t="shared" si="35"/>
        <v>63</v>
      </c>
      <c r="AN23" s="1044">
        <f t="shared" si="44"/>
        <v>63</v>
      </c>
      <c r="AO23" s="1045"/>
      <c r="AP23" s="1045">
        <f t="shared" si="45"/>
        <v>0.69000000000000006</v>
      </c>
      <c r="AQ23" s="1038">
        <f t="shared" si="36"/>
        <v>0</v>
      </c>
      <c r="AR23" s="1039">
        <f t="shared" si="37"/>
        <v>33906.600000000006</v>
      </c>
      <c r="AT23" s="1043">
        <f t="shared" si="38"/>
        <v>147</v>
      </c>
      <c r="AU23" s="1044">
        <f t="shared" si="46"/>
        <v>147</v>
      </c>
      <c r="AV23" s="1045"/>
      <c r="AW23" s="1045">
        <f t="shared" si="47"/>
        <v>0.69000000000000006</v>
      </c>
      <c r="AX23" s="1038">
        <f t="shared" si="39"/>
        <v>0</v>
      </c>
      <c r="AY23" s="1039">
        <f t="shared" si="40"/>
        <v>79115.400000000009</v>
      </c>
      <c r="AZ23" s="1003"/>
    </row>
    <row r="24" spans="1:52" ht="12.75" x14ac:dyDescent="0.2">
      <c r="A24" s="1000" t="s">
        <v>731</v>
      </c>
      <c r="B24" s="1001" t="s">
        <v>322</v>
      </c>
      <c r="C24" s="1041" t="s">
        <v>694</v>
      </c>
      <c r="E24" s="1042"/>
      <c r="F24" s="1033"/>
      <c r="G24" s="1033"/>
      <c r="H24" s="1033"/>
      <c r="I24" s="1033"/>
      <c r="J24" s="1033"/>
      <c r="K24" s="1033"/>
      <c r="L24" s="1033"/>
      <c r="M24" s="1033"/>
      <c r="N24" s="1033"/>
      <c r="O24" s="1033"/>
      <c r="P24" s="1034">
        <v>1</v>
      </c>
      <c r="Q24" s="1033"/>
      <c r="R24" s="1033"/>
      <c r="S24" s="1033"/>
      <c r="T24" s="1033"/>
      <c r="U24" s="1033">
        <v>1</v>
      </c>
      <c r="V24" s="1033"/>
      <c r="W24" s="1033"/>
      <c r="X24" s="1033"/>
      <c r="Y24" s="1033">
        <v>1</v>
      </c>
      <c r="Z24" s="1033"/>
      <c r="AA24" s="1033"/>
      <c r="AB24" s="1033">
        <v>1</v>
      </c>
      <c r="AC24" s="1043">
        <f t="shared" si="32"/>
        <v>84</v>
      </c>
      <c r="AD24" s="1044">
        <f t="shared" si="41"/>
        <v>84</v>
      </c>
      <c r="AE24" s="1045"/>
      <c r="AF24" s="1045">
        <v>0.03</v>
      </c>
      <c r="AG24" s="1046">
        <f t="shared" si="42"/>
        <v>2.52</v>
      </c>
      <c r="AH24" s="1047"/>
      <c r="AI24" s="1048">
        <f>$BF$61</f>
        <v>948</v>
      </c>
      <c r="AJ24" s="1049">
        <f t="shared" si="43"/>
        <v>0</v>
      </c>
      <c r="AK24" s="1050">
        <f t="shared" si="33"/>
        <v>2388.96</v>
      </c>
      <c r="AL24" s="1040">
        <f t="shared" si="34"/>
        <v>2.954271766335438E-4</v>
      </c>
      <c r="AM24" s="1043">
        <f t="shared" si="35"/>
        <v>21</v>
      </c>
      <c r="AN24" s="1044">
        <f t="shared" si="44"/>
        <v>21</v>
      </c>
      <c r="AO24" s="1045"/>
      <c r="AP24" s="1045">
        <f t="shared" si="45"/>
        <v>0.03</v>
      </c>
      <c r="AQ24" s="1038">
        <f t="shared" si="36"/>
        <v>0</v>
      </c>
      <c r="AR24" s="1039">
        <f t="shared" si="37"/>
        <v>597.24</v>
      </c>
      <c r="AT24" s="1043">
        <f t="shared" si="38"/>
        <v>63</v>
      </c>
      <c r="AU24" s="1044">
        <f t="shared" si="46"/>
        <v>63</v>
      </c>
      <c r="AV24" s="1045"/>
      <c r="AW24" s="1045">
        <f t="shared" si="47"/>
        <v>0.03</v>
      </c>
      <c r="AX24" s="1038">
        <f t="shared" si="39"/>
        <v>0</v>
      </c>
      <c r="AY24" s="1039">
        <f t="shared" si="40"/>
        <v>1791.7199999999998</v>
      </c>
      <c r="AZ24" s="1003"/>
    </row>
    <row r="25" spans="1:52" ht="12.75" x14ac:dyDescent="0.2">
      <c r="A25" s="1000" t="s">
        <v>731</v>
      </c>
      <c r="C25" s="1029" t="s">
        <v>642</v>
      </c>
      <c r="E25" s="1042"/>
      <c r="F25" s="1033"/>
      <c r="G25" s="1033"/>
      <c r="H25" s="1033"/>
      <c r="I25" s="1033"/>
      <c r="J25" s="1033"/>
      <c r="K25" s="1033"/>
      <c r="L25" s="1033"/>
      <c r="M25" s="1033"/>
      <c r="N25" s="1033"/>
      <c r="O25" s="1033"/>
      <c r="P25" s="1034"/>
      <c r="Q25" s="1033"/>
      <c r="R25" s="1033"/>
      <c r="S25" s="1033"/>
      <c r="T25" s="1033"/>
      <c r="U25" s="1033"/>
      <c r="V25" s="1033"/>
      <c r="W25" s="1033"/>
      <c r="X25" s="1033"/>
      <c r="Y25" s="1033"/>
      <c r="Z25" s="1033"/>
      <c r="AA25" s="1033"/>
      <c r="AB25" s="1033"/>
      <c r="AC25" s="1043"/>
      <c r="AD25" s="1044"/>
      <c r="AE25" s="1051"/>
      <c r="AF25" s="1045"/>
      <c r="AG25" s="1046"/>
      <c r="AH25" s="1047"/>
      <c r="AI25" s="1048"/>
      <c r="AJ25" s="1049"/>
      <c r="AK25" s="1050"/>
      <c r="AL25" s="1040"/>
      <c r="AM25" s="1043"/>
      <c r="AN25" s="1044"/>
      <c r="AO25" s="1045"/>
      <c r="AP25" s="1045"/>
      <c r="AQ25" s="1038"/>
      <c r="AR25" s="1039"/>
      <c r="AT25" s="1043"/>
      <c r="AU25" s="1044"/>
      <c r="AV25" s="1045"/>
      <c r="AW25" s="1045"/>
      <c r="AX25" s="1038"/>
      <c r="AY25" s="1039"/>
      <c r="AZ25" s="1003"/>
    </row>
    <row r="26" spans="1:52" ht="12.75" x14ac:dyDescent="0.2">
      <c r="A26" s="1000" t="s">
        <v>731</v>
      </c>
      <c r="B26" s="1001" t="s">
        <v>317</v>
      </c>
      <c r="C26" s="1041" t="s">
        <v>689</v>
      </c>
      <c r="E26" s="1042">
        <v>1</v>
      </c>
      <c r="F26" s="1033">
        <v>1</v>
      </c>
      <c r="G26" s="1033">
        <v>1</v>
      </c>
      <c r="H26" s="1033">
        <v>1</v>
      </c>
      <c r="I26" s="1033">
        <v>1</v>
      </c>
      <c r="J26" s="1033">
        <v>1</v>
      </c>
      <c r="K26" s="1033">
        <v>1</v>
      </c>
      <c r="L26" s="1033">
        <v>1</v>
      </c>
      <c r="M26" s="1033">
        <v>1</v>
      </c>
      <c r="N26" s="1033">
        <v>1</v>
      </c>
      <c r="O26" s="1033">
        <v>1</v>
      </c>
      <c r="P26" s="1034">
        <v>1</v>
      </c>
      <c r="Q26" s="1033">
        <v>1</v>
      </c>
      <c r="R26" s="1033">
        <v>1</v>
      </c>
      <c r="S26" s="1033">
        <v>1</v>
      </c>
      <c r="T26" s="1033">
        <v>1</v>
      </c>
      <c r="U26" s="1033">
        <v>1</v>
      </c>
      <c r="V26" s="1033">
        <v>1</v>
      </c>
      <c r="W26" s="1033">
        <v>1</v>
      </c>
      <c r="X26" s="1033">
        <v>1</v>
      </c>
      <c r="Y26" s="1033">
        <v>1</v>
      </c>
      <c r="Z26" s="1033">
        <v>1</v>
      </c>
      <c r="AA26" s="1033">
        <v>1</v>
      </c>
      <c r="AB26" s="1033">
        <v>1</v>
      </c>
      <c r="AC26" s="1043">
        <f t="shared" ref="AC26:AC31" si="48">COUNTA(E26:AB26)*21</f>
        <v>504</v>
      </c>
      <c r="AD26" s="1044">
        <f>COUNTA(E26:AB26)*21</f>
        <v>504</v>
      </c>
      <c r="AE26" s="1045"/>
      <c r="AF26" s="1045">
        <v>0.15000000000000002</v>
      </c>
      <c r="AG26" s="1046">
        <f>AF26*AD26</f>
        <v>75.600000000000009</v>
      </c>
      <c r="AH26" s="1047"/>
      <c r="AI26" s="1048">
        <f>$BF$58</f>
        <v>660</v>
      </c>
      <c r="AJ26" s="1049">
        <f>AC26*AE26*AG26</f>
        <v>0</v>
      </c>
      <c r="AK26" s="1050">
        <f t="shared" ref="AK26:AK31" si="49">AD26*AF26*AI26</f>
        <v>49896.000000000007</v>
      </c>
      <c r="AL26" s="1040">
        <f t="shared" ref="AL26:AL31" si="50">AK26/$AK$90</f>
        <v>6.1703144486752832E-3</v>
      </c>
      <c r="AM26" s="1043">
        <f t="shared" ref="AM26:AM31" si="51">COUNTA(E26:P26)*21</f>
        <v>252</v>
      </c>
      <c r="AN26" s="1044">
        <f>AM26</f>
        <v>252</v>
      </c>
      <c r="AO26" s="1045"/>
      <c r="AP26" s="1045">
        <f>AF26</f>
        <v>0.15000000000000002</v>
      </c>
      <c r="AQ26" s="1038">
        <f t="shared" ref="AQ26:AQ31" si="52">AM26*AO26*AG26</f>
        <v>0</v>
      </c>
      <c r="AR26" s="1039">
        <f t="shared" ref="AR26:AR31" si="53">AN26*AP26*AI26</f>
        <v>24948.000000000004</v>
      </c>
      <c r="AT26" s="1043">
        <f t="shared" ref="AT26:AT31" si="54">COUNTA(Q26:AB26)*21</f>
        <v>252</v>
      </c>
      <c r="AU26" s="1044">
        <f>AT26</f>
        <v>252</v>
      </c>
      <c r="AV26" s="1045"/>
      <c r="AW26" s="1045">
        <f>AF26</f>
        <v>0.15000000000000002</v>
      </c>
      <c r="AX26" s="1038">
        <f t="shared" ref="AX26:AX31" si="55">AT26*AV26*AG26</f>
        <v>0</v>
      </c>
      <c r="AY26" s="1039">
        <f t="shared" ref="AY26:AY31" si="56">AU26*AW26*AI26</f>
        <v>24948.000000000004</v>
      </c>
      <c r="AZ26" s="1003"/>
    </row>
    <row r="27" spans="1:52" ht="12.75" x14ac:dyDescent="0.2">
      <c r="A27" s="1000" t="s">
        <v>731</v>
      </c>
      <c r="B27" s="1001" t="s">
        <v>318</v>
      </c>
      <c r="C27" s="1041" t="s">
        <v>690</v>
      </c>
      <c r="E27" s="1042"/>
      <c r="F27" s="1033"/>
      <c r="G27" s="1033"/>
      <c r="H27" s="1033"/>
      <c r="I27" s="1033"/>
      <c r="J27" s="1033"/>
      <c r="K27" s="1033">
        <v>1</v>
      </c>
      <c r="L27" s="1033">
        <v>1</v>
      </c>
      <c r="M27" s="1033">
        <v>1</v>
      </c>
      <c r="N27" s="1033">
        <v>1</v>
      </c>
      <c r="O27" s="1033">
        <v>1</v>
      </c>
      <c r="P27" s="1034">
        <v>1</v>
      </c>
      <c r="Q27" s="1033">
        <v>1</v>
      </c>
      <c r="R27" s="1033">
        <v>1</v>
      </c>
      <c r="S27" s="1033">
        <v>1</v>
      </c>
      <c r="T27" s="1033">
        <v>1</v>
      </c>
      <c r="U27" s="1033">
        <v>1</v>
      </c>
      <c r="V27" s="1033">
        <v>1</v>
      </c>
      <c r="W27" s="1033">
        <v>1</v>
      </c>
      <c r="X27" s="1033">
        <v>1</v>
      </c>
      <c r="Y27" s="1033">
        <v>1</v>
      </c>
      <c r="Z27" s="1033">
        <v>1</v>
      </c>
      <c r="AA27" s="1033">
        <v>1</v>
      </c>
      <c r="AB27" s="1033">
        <v>1</v>
      </c>
      <c r="AC27" s="1043">
        <f t="shared" si="48"/>
        <v>378</v>
      </c>
      <c r="AD27" s="1044">
        <f t="shared" ref="AD27:AD31" si="57">COUNTA(E27:AB27)*21</f>
        <v>378</v>
      </c>
      <c r="AE27" s="1045"/>
      <c r="AF27" s="1045">
        <v>0.57000000000000006</v>
      </c>
      <c r="AG27" s="1046">
        <f t="shared" ref="AG27:AG31" si="58">AF27*AD27</f>
        <v>215.46000000000004</v>
      </c>
      <c r="AH27" s="1047"/>
      <c r="AI27" s="1048">
        <f>$BF$59</f>
        <v>780</v>
      </c>
      <c r="AJ27" s="1049">
        <f t="shared" ref="AJ27:AJ31" si="59">AC27*AE27*AG27</f>
        <v>0</v>
      </c>
      <c r="AK27" s="1050">
        <f t="shared" si="49"/>
        <v>168058.80000000002</v>
      </c>
      <c r="AL27" s="1040">
        <f t="shared" si="50"/>
        <v>2.0782740938492656E-2</v>
      </c>
      <c r="AM27" s="1043">
        <f t="shared" si="51"/>
        <v>126</v>
      </c>
      <c r="AN27" s="1044">
        <f t="shared" ref="AN27:AN31" si="60">AM27</f>
        <v>126</v>
      </c>
      <c r="AO27" s="1045"/>
      <c r="AP27" s="1045">
        <f t="shared" ref="AP27:AP31" si="61">AF27</f>
        <v>0.57000000000000006</v>
      </c>
      <c r="AQ27" s="1038">
        <f t="shared" si="52"/>
        <v>0</v>
      </c>
      <c r="AR27" s="1039">
        <f t="shared" si="53"/>
        <v>56019.600000000006</v>
      </c>
      <c r="AT27" s="1043">
        <f t="shared" si="54"/>
        <v>252</v>
      </c>
      <c r="AU27" s="1044">
        <f t="shared" ref="AU27:AU31" si="62">AT27</f>
        <v>252</v>
      </c>
      <c r="AV27" s="1045"/>
      <c r="AW27" s="1045">
        <f t="shared" ref="AW27:AW31" si="63">AF27</f>
        <v>0.57000000000000006</v>
      </c>
      <c r="AX27" s="1038">
        <f t="shared" si="55"/>
        <v>0</v>
      </c>
      <c r="AY27" s="1039">
        <f t="shared" si="56"/>
        <v>112039.20000000001</v>
      </c>
      <c r="AZ27" s="1003"/>
    </row>
    <row r="28" spans="1:52" ht="12.75" x14ac:dyDescent="0.2">
      <c r="A28" s="1000" t="s">
        <v>731</v>
      </c>
      <c r="B28" s="1001" t="s">
        <v>319</v>
      </c>
      <c r="C28" s="1041" t="s">
        <v>691</v>
      </c>
      <c r="E28" s="1042"/>
      <c r="F28" s="1033"/>
      <c r="G28" s="1033"/>
      <c r="H28" s="1033"/>
      <c r="I28" s="1033"/>
      <c r="J28" s="1033"/>
      <c r="K28" s="1033"/>
      <c r="L28" s="1033"/>
      <c r="M28" s="1033">
        <v>1</v>
      </c>
      <c r="N28" s="1033">
        <v>1</v>
      </c>
      <c r="O28" s="1033">
        <v>1</v>
      </c>
      <c r="P28" s="1034">
        <v>1</v>
      </c>
      <c r="Q28" s="1033"/>
      <c r="R28" s="1033">
        <v>1</v>
      </c>
      <c r="S28" s="1033">
        <v>1</v>
      </c>
      <c r="T28" s="1033">
        <v>1</v>
      </c>
      <c r="U28" s="1033">
        <v>1</v>
      </c>
      <c r="V28" s="1033"/>
      <c r="W28" s="1033">
        <v>1</v>
      </c>
      <c r="X28" s="1033">
        <v>1</v>
      </c>
      <c r="Y28" s="1033">
        <v>1</v>
      </c>
      <c r="Z28" s="1033">
        <v>1</v>
      </c>
      <c r="AA28" s="1033">
        <v>1</v>
      </c>
      <c r="AB28" s="1033">
        <v>1</v>
      </c>
      <c r="AC28" s="1043">
        <f t="shared" si="48"/>
        <v>294</v>
      </c>
      <c r="AD28" s="1044">
        <f t="shared" si="57"/>
        <v>294</v>
      </c>
      <c r="AE28" s="1045"/>
      <c r="AF28" s="1045">
        <v>0.15000000000000002</v>
      </c>
      <c r="AG28" s="1046">
        <f t="shared" si="58"/>
        <v>44.100000000000009</v>
      </c>
      <c r="AH28" s="1047"/>
      <c r="AI28" s="1048">
        <f>$BF$60</f>
        <v>684</v>
      </c>
      <c r="AJ28" s="1049">
        <f t="shared" si="59"/>
        <v>0</v>
      </c>
      <c r="AK28" s="1050">
        <f t="shared" si="49"/>
        <v>30164.400000000005</v>
      </c>
      <c r="AL28" s="1040">
        <f t="shared" si="50"/>
        <v>3.730235553062785E-3</v>
      </c>
      <c r="AM28" s="1043">
        <f t="shared" si="51"/>
        <v>84</v>
      </c>
      <c r="AN28" s="1044">
        <f t="shared" si="60"/>
        <v>84</v>
      </c>
      <c r="AO28" s="1045"/>
      <c r="AP28" s="1045">
        <f t="shared" si="61"/>
        <v>0.15000000000000002</v>
      </c>
      <c r="AQ28" s="1038">
        <f t="shared" si="52"/>
        <v>0</v>
      </c>
      <c r="AR28" s="1039">
        <f t="shared" si="53"/>
        <v>8618.4000000000015</v>
      </c>
      <c r="AT28" s="1043">
        <f t="shared" si="54"/>
        <v>210</v>
      </c>
      <c r="AU28" s="1044">
        <f t="shared" si="62"/>
        <v>210</v>
      </c>
      <c r="AV28" s="1045"/>
      <c r="AW28" s="1045">
        <f t="shared" si="63"/>
        <v>0.15000000000000002</v>
      </c>
      <c r="AX28" s="1038">
        <f t="shared" si="55"/>
        <v>0</v>
      </c>
      <c r="AY28" s="1039">
        <f t="shared" si="56"/>
        <v>21546.000000000004</v>
      </c>
      <c r="AZ28" s="1003"/>
    </row>
    <row r="29" spans="1:52" ht="13.35" customHeight="1" x14ac:dyDescent="0.2">
      <c r="A29" s="1000" t="s">
        <v>731</v>
      </c>
      <c r="B29" s="1001" t="s">
        <v>320</v>
      </c>
      <c r="C29" s="1041" t="s">
        <v>692</v>
      </c>
      <c r="E29" s="1042"/>
      <c r="F29" s="1033"/>
      <c r="G29" s="1033"/>
      <c r="H29" s="1033"/>
      <c r="I29" s="1033"/>
      <c r="J29" s="1033"/>
      <c r="K29" s="1033"/>
      <c r="L29" s="1033"/>
      <c r="M29" s="1033"/>
      <c r="N29" s="1033"/>
      <c r="O29" s="1033"/>
      <c r="P29" s="1034">
        <v>1</v>
      </c>
      <c r="Q29" s="1033"/>
      <c r="R29" s="1033"/>
      <c r="S29" s="1033"/>
      <c r="T29" s="1033"/>
      <c r="U29" s="1033">
        <v>1</v>
      </c>
      <c r="V29" s="1033"/>
      <c r="W29" s="1033">
        <v>1</v>
      </c>
      <c r="X29" s="1033"/>
      <c r="Y29" s="1033">
        <v>1</v>
      </c>
      <c r="Z29" s="1033"/>
      <c r="AA29" s="1033">
        <v>1</v>
      </c>
      <c r="AB29" s="1033">
        <v>1</v>
      </c>
      <c r="AC29" s="1043">
        <f t="shared" si="48"/>
        <v>126</v>
      </c>
      <c r="AD29" s="1044">
        <f t="shared" si="57"/>
        <v>126</v>
      </c>
      <c r="AE29" s="1045"/>
      <c r="AF29" s="1045">
        <v>0.01</v>
      </c>
      <c r="AG29" s="1046">
        <f t="shared" si="58"/>
        <v>1.26</v>
      </c>
      <c r="AH29" s="1047"/>
      <c r="AI29" s="1048">
        <f>$BF$63</f>
        <v>684</v>
      </c>
      <c r="AJ29" s="1049">
        <f t="shared" si="59"/>
        <v>0</v>
      </c>
      <c r="AK29" s="1050">
        <f t="shared" si="49"/>
        <v>861.84</v>
      </c>
      <c r="AL29" s="1040">
        <f t="shared" si="50"/>
        <v>1.0657815865893669E-4</v>
      </c>
      <c r="AM29" s="1043">
        <f t="shared" si="51"/>
        <v>21</v>
      </c>
      <c r="AN29" s="1044">
        <f t="shared" si="60"/>
        <v>21</v>
      </c>
      <c r="AO29" s="1045"/>
      <c r="AP29" s="1045">
        <f t="shared" si="61"/>
        <v>0.01</v>
      </c>
      <c r="AQ29" s="1038">
        <f t="shared" si="52"/>
        <v>0</v>
      </c>
      <c r="AR29" s="1039">
        <f t="shared" si="53"/>
        <v>143.63999999999999</v>
      </c>
      <c r="AT29" s="1043">
        <f t="shared" si="54"/>
        <v>105</v>
      </c>
      <c r="AU29" s="1044">
        <f t="shared" si="62"/>
        <v>105</v>
      </c>
      <c r="AV29" s="1045"/>
      <c r="AW29" s="1045">
        <f t="shared" si="63"/>
        <v>0.01</v>
      </c>
      <c r="AX29" s="1038">
        <f t="shared" si="55"/>
        <v>0</v>
      </c>
      <c r="AY29" s="1039">
        <f t="shared" si="56"/>
        <v>718.2</v>
      </c>
      <c r="AZ29" s="1003"/>
    </row>
    <row r="30" spans="1:52" ht="12.75" x14ac:dyDescent="0.2">
      <c r="A30" s="1000" t="s">
        <v>731</v>
      </c>
      <c r="B30" s="1001" t="s">
        <v>321</v>
      </c>
      <c r="C30" s="1041" t="s">
        <v>693</v>
      </c>
      <c r="E30" s="1042"/>
      <c r="F30" s="1033"/>
      <c r="G30" s="1033"/>
      <c r="H30" s="1033"/>
      <c r="I30" s="1033"/>
      <c r="J30" s="1033"/>
      <c r="K30" s="1033"/>
      <c r="L30" s="1033"/>
      <c r="M30" s="1033"/>
      <c r="N30" s="1033">
        <v>1</v>
      </c>
      <c r="O30" s="1033">
        <v>1</v>
      </c>
      <c r="P30" s="1034">
        <v>1</v>
      </c>
      <c r="Q30" s="1033"/>
      <c r="R30" s="1033">
        <v>1</v>
      </c>
      <c r="S30" s="1033">
        <v>1</v>
      </c>
      <c r="T30" s="1033">
        <v>1</v>
      </c>
      <c r="U30" s="1033">
        <v>1</v>
      </c>
      <c r="V30" s="1033"/>
      <c r="W30" s="1033">
        <v>1</v>
      </c>
      <c r="X30" s="1033"/>
      <c r="Y30" s="1033">
        <v>1</v>
      </c>
      <c r="Z30" s="1033"/>
      <c r="AA30" s="1033"/>
      <c r="AB30" s="1033">
        <v>1</v>
      </c>
      <c r="AC30" s="1043">
        <f t="shared" si="48"/>
        <v>210</v>
      </c>
      <c r="AD30" s="1044">
        <f t="shared" si="57"/>
        <v>210</v>
      </c>
      <c r="AE30" s="1045"/>
      <c r="AF30" s="1045">
        <v>0.31</v>
      </c>
      <c r="AG30" s="1046">
        <f t="shared" si="58"/>
        <v>65.099999999999994</v>
      </c>
      <c r="AH30" s="1047"/>
      <c r="AI30" s="1048">
        <f>$BF$59</f>
        <v>780</v>
      </c>
      <c r="AJ30" s="1049">
        <f t="shared" si="59"/>
        <v>0</v>
      </c>
      <c r="AK30" s="1050">
        <f t="shared" si="49"/>
        <v>50777.999999999993</v>
      </c>
      <c r="AL30" s="1040">
        <f t="shared" si="50"/>
        <v>6.2793856636771169E-3</v>
      </c>
      <c r="AM30" s="1043">
        <f t="shared" si="51"/>
        <v>63</v>
      </c>
      <c r="AN30" s="1044">
        <f t="shared" si="60"/>
        <v>63</v>
      </c>
      <c r="AO30" s="1045"/>
      <c r="AP30" s="1045">
        <f t="shared" si="61"/>
        <v>0.31</v>
      </c>
      <c r="AQ30" s="1038">
        <f t="shared" si="52"/>
        <v>0</v>
      </c>
      <c r="AR30" s="1039">
        <f t="shared" si="53"/>
        <v>15233.400000000001</v>
      </c>
      <c r="AT30" s="1043">
        <f t="shared" si="54"/>
        <v>147</v>
      </c>
      <c r="AU30" s="1044">
        <f t="shared" si="62"/>
        <v>147</v>
      </c>
      <c r="AV30" s="1045"/>
      <c r="AW30" s="1045">
        <f t="shared" si="63"/>
        <v>0.31</v>
      </c>
      <c r="AX30" s="1038">
        <f t="shared" si="55"/>
        <v>0</v>
      </c>
      <c r="AY30" s="1039">
        <f t="shared" si="56"/>
        <v>35544.6</v>
      </c>
      <c r="AZ30" s="1003"/>
    </row>
    <row r="31" spans="1:52" ht="12.75" x14ac:dyDescent="0.2">
      <c r="A31" s="1000" t="s">
        <v>731</v>
      </c>
      <c r="B31" s="1001" t="s">
        <v>322</v>
      </c>
      <c r="C31" s="1041" t="s">
        <v>694</v>
      </c>
      <c r="E31" s="1042"/>
      <c r="F31" s="1033"/>
      <c r="G31" s="1033"/>
      <c r="H31" s="1033"/>
      <c r="I31" s="1033"/>
      <c r="J31" s="1033"/>
      <c r="K31" s="1033"/>
      <c r="L31" s="1033"/>
      <c r="M31" s="1033"/>
      <c r="N31" s="1033"/>
      <c r="O31" s="1033"/>
      <c r="P31" s="1034">
        <v>1</v>
      </c>
      <c r="Q31" s="1033"/>
      <c r="R31" s="1033"/>
      <c r="S31" s="1033"/>
      <c r="T31" s="1033"/>
      <c r="U31" s="1033">
        <v>1</v>
      </c>
      <c r="V31" s="1033"/>
      <c r="W31" s="1033"/>
      <c r="X31" s="1033"/>
      <c r="Y31" s="1033">
        <v>1</v>
      </c>
      <c r="Z31" s="1033"/>
      <c r="AA31" s="1033"/>
      <c r="AB31" s="1033">
        <v>1</v>
      </c>
      <c r="AC31" s="1043">
        <f t="shared" si="48"/>
        <v>84</v>
      </c>
      <c r="AD31" s="1044">
        <f t="shared" si="57"/>
        <v>84</v>
      </c>
      <c r="AE31" s="1045"/>
      <c r="AF31" s="1045">
        <v>0.02</v>
      </c>
      <c r="AG31" s="1046">
        <f t="shared" si="58"/>
        <v>1.68</v>
      </c>
      <c r="AH31" s="1047"/>
      <c r="AI31" s="1048">
        <f>$BF$61</f>
        <v>948</v>
      </c>
      <c r="AJ31" s="1049">
        <f t="shared" si="59"/>
        <v>0</v>
      </c>
      <c r="AK31" s="1050">
        <f t="shared" si="49"/>
        <v>1592.6399999999999</v>
      </c>
      <c r="AL31" s="1040">
        <f t="shared" si="50"/>
        <v>1.969514510890292E-4</v>
      </c>
      <c r="AM31" s="1043">
        <f t="shared" si="51"/>
        <v>21</v>
      </c>
      <c r="AN31" s="1044">
        <f t="shared" si="60"/>
        <v>21</v>
      </c>
      <c r="AO31" s="1045"/>
      <c r="AP31" s="1045">
        <f t="shared" si="61"/>
        <v>0.02</v>
      </c>
      <c r="AQ31" s="1038">
        <f t="shared" si="52"/>
        <v>0</v>
      </c>
      <c r="AR31" s="1039">
        <f t="shared" si="53"/>
        <v>398.15999999999997</v>
      </c>
      <c r="AT31" s="1043">
        <f t="shared" si="54"/>
        <v>63</v>
      </c>
      <c r="AU31" s="1044">
        <f t="shared" si="62"/>
        <v>63</v>
      </c>
      <c r="AV31" s="1045"/>
      <c r="AW31" s="1045">
        <f t="shared" si="63"/>
        <v>0.02</v>
      </c>
      <c r="AX31" s="1038">
        <f t="shared" si="55"/>
        <v>0</v>
      </c>
      <c r="AY31" s="1039">
        <f t="shared" si="56"/>
        <v>1194.48</v>
      </c>
      <c r="AZ31" s="1003"/>
    </row>
    <row r="32" spans="1:52" ht="12.75" x14ac:dyDescent="0.2">
      <c r="A32" s="1000" t="s">
        <v>731</v>
      </c>
      <c r="C32" s="1029" t="s">
        <v>643</v>
      </c>
      <c r="E32" s="1042"/>
      <c r="F32" s="1033"/>
      <c r="G32" s="1033"/>
      <c r="H32" s="1033"/>
      <c r="I32" s="1033"/>
      <c r="J32" s="1033"/>
      <c r="K32" s="1033"/>
      <c r="L32" s="1033"/>
      <c r="M32" s="1033"/>
      <c r="N32" s="1033"/>
      <c r="O32" s="1033"/>
      <c r="P32" s="1034"/>
      <c r="Q32" s="1033"/>
      <c r="R32" s="1033"/>
      <c r="S32" s="1033"/>
      <c r="T32" s="1033"/>
      <c r="U32" s="1033"/>
      <c r="V32" s="1033"/>
      <c r="W32" s="1033"/>
      <c r="X32" s="1033"/>
      <c r="Y32" s="1033"/>
      <c r="Z32" s="1033"/>
      <c r="AA32" s="1033"/>
      <c r="AB32" s="1033"/>
      <c r="AC32" s="1043"/>
      <c r="AD32" s="1044"/>
      <c r="AE32" s="1051"/>
      <c r="AF32" s="1045"/>
      <c r="AG32" s="1046"/>
      <c r="AH32" s="1047"/>
      <c r="AI32" s="1048"/>
      <c r="AJ32" s="1049"/>
      <c r="AK32" s="1050"/>
      <c r="AL32" s="1040"/>
      <c r="AM32" s="1043"/>
      <c r="AN32" s="1044"/>
      <c r="AO32" s="1045"/>
      <c r="AP32" s="1045"/>
      <c r="AQ32" s="1038"/>
      <c r="AR32" s="1039"/>
      <c r="AT32" s="1043"/>
      <c r="AU32" s="1044"/>
      <c r="AV32" s="1045"/>
      <c r="AW32" s="1045"/>
      <c r="AX32" s="1038"/>
      <c r="AY32" s="1039"/>
      <c r="AZ32" s="1003"/>
    </row>
    <row r="33" spans="1:52" ht="12.75" x14ac:dyDescent="0.2">
      <c r="A33" s="1000" t="s">
        <v>731</v>
      </c>
      <c r="B33" s="1001" t="s">
        <v>317</v>
      </c>
      <c r="C33" s="1041" t="s">
        <v>689</v>
      </c>
      <c r="E33" s="1042">
        <v>1</v>
      </c>
      <c r="F33" s="1033">
        <v>1</v>
      </c>
      <c r="G33" s="1033">
        <v>1</v>
      </c>
      <c r="H33" s="1033">
        <v>1</v>
      </c>
      <c r="I33" s="1033">
        <v>1</v>
      </c>
      <c r="J33" s="1033">
        <v>1</v>
      </c>
      <c r="K33" s="1033">
        <v>1</v>
      </c>
      <c r="L33" s="1033">
        <v>1</v>
      </c>
      <c r="M33" s="1033">
        <v>1</v>
      </c>
      <c r="N33" s="1033">
        <v>1</v>
      </c>
      <c r="O33" s="1033">
        <v>1</v>
      </c>
      <c r="P33" s="1034">
        <v>1</v>
      </c>
      <c r="Q33" s="1033">
        <v>1</v>
      </c>
      <c r="R33" s="1033">
        <v>1</v>
      </c>
      <c r="S33" s="1033">
        <v>1</v>
      </c>
      <c r="T33" s="1033">
        <v>1</v>
      </c>
      <c r="U33" s="1033">
        <v>1</v>
      </c>
      <c r="V33" s="1033">
        <v>1</v>
      </c>
      <c r="W33" s="1033">
        <v>1</v>
      </c>
      <c r="X33" s="1033">
        <v>1</v>
      </c>
      <c r="Y33" s="1033">
        <v>1</v>
      </c>
      <c r="Z33" s="1033">
        <v>1</v>
      </c>
      <c r="AA33" s="1033">
        <v>1</v>
      </c>
      <c r="AB33" s="1033">
        <v>1</v>
      </c>
      <c r="AC33" s="1043">
        <f t="shared" ref="AC33:AC38" si="64">COUNTA(E33:AB33)*21</f>
        <v>504</v>
      </c>
      <c r="AD33" s="1044">
        <f>COUNTA(E33:AB33)*21</f>
        <v>504</v>
      </c>
      <c r="AE33" s="1045"/>
      <c r="AF33" s="1045">
        <v>0.22</v>
      </c>
      <c r="AG33" s="1046">
        <f>AF33*AD33</f>
        <v>110.88</v>
      </c>
      <c r="AH33" s="1047"/>
      <c r="AI33" s="1048">
        <f>$BF$58</f>
        <v>660</v>
      </c>
      <c r="AJ33" s="1049">
        <f>AC33*AE33*AG33</f>
        <v>0</v>
      </c>
      <c r="AK33" s="1050">
        <f t="shared" ref="AK33:AK38" si="65">AD33*AF33*AI33</f>
        <v>73180.800000000003</v>
      </c>
      <c r="AL33" s="1040">
        <f t="shared" ref="AL33:AL38" si="66">AK33/$AK$90</f>
        <v>9.049794524723747E-3</v>
      </c>
      <c r="AM33" s="1043">
        <f t="shared" ref="AM33:AM38" si="67">COUNTA(E33:P33)*21</f>
        <v>252</v>
      </c>
      <c r="AN33" s="1044">
        <f>AM33</f>
        <v>252</v>
      </c>
      <c r="AO33" s="1045"/>
      <c r="AP33" s="1045">
        <f>AF33</f>
        <v>0.22</v>
      </c>
      <c r="AQ33" s="1038">
        <f t="shared" ref="AQ33:AQ38" si="68">AM33*AO33*AG33</f>
        <v>0</v>
      </c>
      <c r="AR33" s="1039">
        <f t="shared" ref="AR33:AR38" si="69">AN33*AP33*AI33</f>
        <v>36590.400000000001</v>
      </c>
      <c r="AT33" s="1043">
        <f t="shared" ref="AT33:AT38" si="70">COUNTA(Q33:AB33)*21</f>
        <v>252</v>
      </c>
      <c r="AU33" s="1044">
        <f>AT33</f>
        <v>252</v>
      </c>
      <c r="AV33" s="1045"/>
      <c r="AW33" s="1045">
        <f>AF33</f>
        <v>0.22</v>
      </c>
      <c r="AX33" s="1038">
        <f t="shared" ref="AX33:AX38" si="71">AT33*AV33*AG33</f>
        <v>0</v>
      </c>
      <c r="AY33" s="1039">
        <f t="shared" ref="AY33:AY38" si="72">AU33*AW33*AI33</f>
        <v>36590.400000000001</v>
      </c>
      <c r="AZ33" s="1003"/>
    </row>
    <row r="34" spans="1:52" ht="12.75" x14ac:dyDescent="0.2">
      <c r="A34" s="1000" t="s">
        <v>731</v>
      </c>
      <c r="B34" s="1001" t="s">
        <v>318</v>
      </c>
      <c r="C34" s="1041" t="s">
        <v>690</v>
      </c>
      <c r="E34" s="1042"/>
      <c r="F34" s="1033"/>
      <c r="G34" s="1033"/>
      <c r="H34" s="1033"/>
      <c r="I34" s="1033"/>
      <c r="J34" s="1033"/>
      <c r="K34" s="1033">
        <v>1</v>
      </c>
      <c r="L34" s="1033">
        <v>1</v>
      </c>
      <c r="M34" s="1033">
        <v>1</v>
      </c>
      <c r="N34" s="1033">
        <v>1</v>
      </c>
      <c r="O34" s="1033">
        <v>1</v>
      </c>
      <c r="P34" s="1034">
        <v>1</v>
      </c>
      <c r="Q34" s="1033">
        <v>1</v>
      </c>
      <c r="R34" s="1033">
        <v>1</v>
      </c>
      <c r="S34" s="1033">
        <v>1</v>
      </c>
      <c r="T34" s="1033">
        <v>1</v>
      </c>
      <c r="U34" s="1033">
        <v>1</v>
      </c>
      <c r="V34" s="1033">
        <v>1</v>
      </c>
      <c r="W34" s="1033">
        <v>1</v>
      </c>
      <c r="X34" s="1033">
        <v>1</v>
      </c>
      <c r="Y34" s="1033">
        <v>1</v>
      </c>
      <c r="Z34" s="1033">
        <v>1</v>
      </c>
      <c r="AA34" s="1033">
        <v>1</v>
      </c>
      <c r="AB34" s="1033">
        <v>1</v>
      </c>
      <c r="AC34" s="1043">
        <f t="shared" si="64"/>
        <v>378</v>
      </c>
      <c r="AD34" s="1044">
        <f t="shared" ref="AD34:AD38" si="73">COUNTA(E34:AB34)*21</f>
        <v>378</v>
      </c>
      <c r="AE34" s="1045"/>
      <c r="AF34" s="1045">
        <v>0.86</v>
      </c>
      <c r="AG34" s="1046">
        <f t="shared" ref="AG34:AG38" si="74">AF34*AD34</f>
        <v>325.08</v>
      </c>
      <c r="AH34" s="1047"/>
      <c r="AI34" s="1048">
        <f>$BF$59</f>
        <v>780</v>
      </c>
      <c r="AJ34" s="1049">
        <f t="shared" ref="AJ34:AJ38" si="75">AC34*AE34*AG34</f>
        <v>0</v>
      </c>
      <c r="AK34" s="1050">
        <f t="shared" si="65"/>
        <v>253562.4</v>
      </c>
      <c r="AL34" s="1040">
        <f t="shared" si="66"/>
        <v>3.1356416152813482E-2</v>
      </c>
      <c r="AM34" s="1043">
        <f t="shared" si="67"/>
        <v>126</v>
      </c>
      <c r="AN34" s="1044">
        <f t="shared" ref="AN34:AN38" si="76">AM34</f>
        <v>126</v>
      </c>
      <c r="AO34" s="1045"/>
      <c r="AP34" s="1045">
        <f t="shared" ref="AP34:AP38" si="77">AF34</f>
        <v>0.86</v>
      </c>
      <c r="AQ34" s="1038">
        <f t="shared" si="68"/>
        <v>0</v>
      </c>
      <c r="AR34" s="1039">
        <f t="shared" si="69"/>
        <v>84520.8</v>
      </c>
      <c r="AT34" s="1043">
        <f t="shared" si="70"/>
        <v>252</v>
      </c>
      <c r="AU34" s="1044">
        <f t="shared" ref="AU34:AU38" si="78">AT34</f>
        <v>252</v>
      </c>
      <c r="AV34" s="1045"/>
      <c r="AW34" s="1045">
        <f t="shared" ref="AW34:AW38" si="79">AF34</f>
        <v>0.86</v>
      </c>
      <c r="AX34" s="1038">
        <f t="shared" si="71"/>
        <v>0</v>
      </c>
      <c r="AY34" s="1039">
        <f t="shared" si="72"/>
        <v>169041.6</v>
      </c>
      <c r="AZ34" s="1003"/>
    </row>
    <row r="35" spans="1:52" ht="12.75" x14ac:dyDescent="0.2">
      <c r="A35" s="1000" t="s">
        <v>731</v>
      </c>
      <c r="B35" s="1001" t="s">
        <v>319</v>
      </c>
      <c r="C35" s="1041" t="s">
        <v>691</v>
      </c>
      <c r="E35" s="1042"/>
      <c r="F35" s="1033"/>
      <c r="G35" s="1033"/>
      <c r="H35" s="1033"/>
      <c r="I35" s="1033"/>
      <c r="J35" s="1033"/>
      <c r="K35" s="1033"/>
      <c r="L35" s="1033"/>
      <c r="M35" s="1033">
        <v>1</v>
      </c>
      <c r="N35" s="1033">
        <v>1</v>
      </c>
      <c r="O35" s="1033">
        <v>1</v>
      </c>
      <c r="P35" s="1034">
        <v>1</v>
      </c>
      <c r="Q35" s="1033"/>
      <c r="R35" s="1033">
        <v>1</v>
      </c>
      <c r="S35" s="1033">
        <v>1</v>
      </c>
      <c r="T35" s="1033">
        <v>1</v>
      </c>
      <c r="U35" s="1033">
        <v>1</v>
      </c>
      <c r="V35" s="1033"/>
      <c r="W35" s="1033">
        <v>1</v>
      </c>
      <c r="X35" s="1033">
        <v>1</v>
      </c>
      <c r="Y35" s="1033">
        <v>1</v>
      </c>
      <c r="Z35" s="1033">
        <v>1</v>
      </c>
      <c r="AA35" s="1033">
        <v>1</v>
      </c>
      <c r="AB35" s="1033">
        <v>1</v>
      </c>
      <c r="AC35" s="1043">
        <f t="shared" si="64"/>
        <v>294</v>
      </c>
      <c r="AD35" s="1044">
        <f t="shared" si="73"/>
        <v>294</v>
      </c>
      <c r="AE35" s="1045"/>
      <c r="AF35" s="1045">
        <v>0.22</v>
      </c>
      <c r="AG35" s="1046">
        <f t="shared" si="74"/>
        <v>64.680000000000007</v>
      </c>
      <c r="AH35" s="1047"/>
      <c r="AI35" s="1048">
        <f>$BF$60</f>
        <v>684</v>
      </c>
      <c r="AJ35" s="1049">
        <f t="shared" si="75"/>
        <v>0</v>
      </c>
      <c r="AK35" s="1050">
        <f t="shared" si="65"/>
        <v>44241.120000000003</v>
      </c>
      <c r="AL35" s="1040">
        <f t="shared" si="66"/>
        <v>5.471012144492084E-3</v>
      </c>
      <c r="AM35" s="1043">
        <f t="shared" si="67"/>
        <v>84</v>
      </c>
      <c r="AN35" s="1044">
        <f t="shared" si="76"/>
        <v>84</v>
      </c>
      <c r="AO35" s="1045"/>
      <c r="AP35" s="1045">
        <f t="shared" si="77"/>
        <v>0.22</v>
      </c>
      <c r="AQ35" s="1038">
        <f t="shared" si="68"/>
        <v>0</v>
      </c>
      <c r="AR35" s="1039">
        <f t="shared" si="69"/>
        <v>12640.32</v>
      </c>
      <c r="AT35" s="1043">
        <f t="shared" si="70"/>
        <v>210</v>
      </c>
      <c r="AU35" s="1044">
        <f t="shared" si="78"/>
        <v>210</v>
      </c>
      <c r="AV35" s="1045"/>
      <c r="AW35" s="1045">
        <f t="shared" si="79"/>
        <v>0.22</v>
      </c>
      <c r="AX35" s="1038">
        <f t="shared" si="71"/>
        <v>0</v>
      </c>
      <c r="AY35" s="1039">
        <f t="shared" si="72"/>
        <v>31600.800000000003</v>
      </c>
      <c r="AZ35" s="1003"/>
    </row>
    <row r="36" spans="1:52" ht="13.35" customHeight="1" x14ac:dyDescent="0.2">
      <c r="A36" s="1000" t="s">
        <v>731</v>
      </c>
      <c r="B36" s="1001" t="s">
        <v>320</v>
      </c>
      <c r="C36" s="1041" t="s">
        <v>692</v>
      </c>
      <c r="E36" s="1042"/>
      <c r="F36" s="1033"/>
      <c r="G36" s="1033"/>
      <c r="H36" s="1033"/>
      <c r="I36" s="1033"/>
      <c r="J36" s="1033"/>
      <c r="K36" s="1033"/>
      <c r="L36" s="1033"/>
      <c r="M36" s="1033"/>
      <c r="N36" s="1033"/>
      <c r="O36" s="1033"/>
      <c r="P36" s="1034">
        <v>1</v>
      </c>
      <c r="Q36" s="1033"/>
      <c r="R36" s="1033"/>
      <c r="S36" s="1033"/>
      <c r="T36" s="1033"/>
      <c r="U36" s="1033">
        <v>1</v>
      </c>
      <c r="V36" s="1033"/>
      <c r="W36" s="1033">
        <v>1</v>
      </c>
      <c r="X36" s="1033"/>
      <c r="Y36" s="1033">
        <v>1</v>
      </c>
      <c r="Z36" s="1033"/>
      <c r="AA36" s="1033">
        <v>1</v>
      </c>
      <c r="AB36" s="1033">
        <v>1</v>
      </c>
      <c r="AC36" s="1043">
        <f t="shared" si="64"/>
        <v>126</v>
      </c>
      <c r="AD36" s="1044">
        <f t="shared" si="73"/>
        <v>126</v>
      </c>
      <c r="AE36" s="1045"/>
      <c r="AF36" s="1045">
        <v>0.01</v>
      </c>
      <c r="AG36" s="1046">
        <f t="shared" si="74"/>
        <v>1.26</v>
      </c>
      <c r="AH36" s="1047"/>
      <c r="AI36" s="1048">
        <f>$BF$63</f>
        <v>684</v>
      </c>
      <c r="AJ36" s="1049">
        <f t="shared" si="75"/>
        <v>0</v>
      </c>
      <c r="AK36" s="1050">
        <f t="shared" si="65"/>
        <v>861.84</v>
      </c>
      <c r="AL36" s="1040">
        <f t="shared" si="66"/>
        <v>1.0657815865893669E-4</v>
      </c>
      <c r="AM36" s="1043">
        <f t="shared" si="67"/>
        <v>21</v>
      </c>
      <c r="AN36" s="1044">
        <f t="shared" si="76"/>
        <v>21</v>
      </c>
      <c r="AO36" s="1045"/>
      <c r="AP36" s="1045">
        <f t="shared" si="77"/>
        <v>0.01</v>
      </c>
      <c r="AQ36" s="1038">
        <f t="shared" si="68"/>
        <v>0</v>
      </c>
      <c r="AR36" s="1039">
        <f t="shared" si="69"/>
        <v>143.63999999999999</v>
      </c>
      <c r="AT36" s="1043">
        <f t="shared" si="70"/>
        <v>105</v>
      </c>
      <c r="AU36" s="1044">
        <f t="shared" si="78"/>
        <v>105</v>
      </c>
      <c r="AV36" s="1045"/>
      <c r="AW36" s="1045">
        <f t="shared" si="79"/>
        <v>0.01</v>
      </c>
      <c r="AX36" s="1038">
        <f t="shared" si="71"/>
        <v>0</v>
      </c>
      <c r="AY36" s="1039">
        <f t="shared" si="72"/>
        <v>718.2</v>
      </c>
      <c r="AZ36" s="1003"/>
    </row>
    <row r="37" spans="1:52" ht="12.75" x14ac:dyDescent="0.2">
      <c r="A37" s="1000" t="s">
        <v>731</v>
      </c>
      <c r="B37" s="1001" t="s">
        <v>321</v>
      </c>
      <c r="C37" s="1041" t="s">
        <v>693</v>
      </c>
      <c r="E37" s="1042"/>
      <c r="F37" s="1033"/>
      <c r="G37" s="1033"/>
      <c r="H37" s="1033"/>
      <c r="I37" s="1033"/>
      <c r="J37" s="1033"/>
      <c r="K37" s="1033"/>
      <c r="L37" s="1033"/>
      <c r="M37" s="1033"/>
      <c r="N37" s="1033">
        <v>1</v>
      </c>
      <c r="O37" s="1033">
        <v>1</v>
      </c>
      <c r="P37" s="1034">
        <v>1</v>
      </c>
      <c r="Q37" s="1033"/>
      <c r="R37" s="1033">
        <v>1</v>
      </c>
      <c r="S37" s="1033">
        <v>1</v>
      </c>
      <c r="T37" s="1033">
        <v>1</v>
      </c>
      <c r="U37" s="1033">
        <v>1</v>
      </c>
      <c r="V37" s="1033"/>
      <c r="W37" s="1033">
        <v>1</v>
      </c>
      <c r="X37" s="1033"/>
      <c r="Y37" s="1033">
        <v>1</v>
      </c>
      <c r="Z37" s="1033"/>
      <c r="AA37" s="1033"/>
      <c r="AB37" s="1033">
        <v>1</v>
      </c>
      <c r="AC37" s="1043">
        <f t="shared" si="64"/>
        <v>210</v>
      </c>
      <c r="AD37" s="1044">
        <f t="shared" si="73"/>
        <v>210</v>
      </c>
      <c r="AE37" s="1045"/>
      <c r="AF37" s="1045">
        <v>0.47000000000000003</v>
      </c>
      <c r="AG37" s="1046">
        <f t="shared" si="74"/>
        <v>98.7</v>
      </c>
      <c r="AH37" s="1047"/>
      <c r="AI37" s="1048">
        <f>$BF$59</f>
        <v>780</v>
      </c>
      <c r="AJ37" s="1049">
        <f t="shared" si="75"/>
        <v>0</v>
      </c>
      <c r="AK37" s="1050">
        <f t="shared" si="65"/>
        <v>76986</v>
      </c>
      <c r="AL37" s="1040">
        <f t="shared" si="66"/>
        <v>9.5203589094459539E-3</v>
      </c>
      <c r="AM37" s="1043">
        <f t="shared" si="67"/>
        <v>63</v>
      </c>
      <c r="AN37" s="1044">
        <f t="shared" si="76"/>
        <v>63</v>
      </c>
      <c r="AO37" s="1045"/>
      <c r="AP37" s="1045">
        <f t="shared" si="77"/>
        <v>0.47000000000000003</v>
      </c>
      <c r="AQ37" s="1038">
        <f t="shared" si="68"/>
        <v>0</v>
      </c>
      <c r="AR37" s="1039">
        <f t="shared" si="69"/>
        <v>23095.800000000003</v>
      </c>
      <c r="AT37" s="1043">
        <f t="shared" si="70"/>
        <v>147</v>
      </c>
      <c r="AU37" s="1044">
        <f t="shared" si="78"/>
        <v>147</v>
      </c>
      <c r="AV37" s="1045"/>
      <c r="AW37" s="1045">
        <f t="shared" si="79"/>
        <v>0.47000000000000003</v>
      </c>
      <c r="AX37" s="1038">
        <f t="shared" si="71"/>
        <v>0</v>
      </c>
      <c r="AY37" s="1039">
        <f t="shared" si="72"/>
        <v>53890.200000000004</v>
      </c>
      <c r="AZ37" s="1003"/>
    </row>
    <row r="38" spans="1:52" ht="12.75" x14ac:dyDescent="0.2">
      <c r="A38" s="1000" t="s">
        <v>731</v>
      </c>
      <c r="B38" s="1001" t="s">
        <v>322</v>
      </c>
      <c r="C38" s="1041" t="s">
        <v>694</v>
      </c>
      <c r="E38" s="1042"/>
      <c r="F38" s="1033"/>
      <c r="G38" s="1033"/>
      <c r="H38" s="1033"/>
      <c r="I38" s="1033"/>
      <c r="J38" s="1033"/>
      <c r="K38" s="1033"/>
      <c r="L38" s="1033"/>
      <c r="M38" s="1033"/>
      <c r="N38" s="1033"/>
      <c r="O38" s="1033"/>
      <c r="P38" s="1034">
        <v>1</v>
      </c>
      <c r="Q38" s="1033"/>
      <c r="R38" s="1033"/>
      <c r="S38" s="1033"/>
      <c r="T38" s="1033"/>
      <c r="U38" s="1033">
        <v>1</v>
      </c>
      <c r="V38" s="1033"/>
      <c r="W38" s="1033"/>
      <c r="X38" s="1033"/>
      <c r="Y38" s="1033">
        <v>1</v>
      </c>
      <c r="Z38" s="1033"/>
      <c r="AA38" s="1033"/>
      <c r="AB38" s="1033">
        <v>1</v>
      </c>
      <c r="AC38" s="1043">
        <f t="shared" si="64"/>
        <v>84</v>
      </c>
      <c r="AD38" s="1044">
        <f t="shared" si="73"/>
        <v>84</v>
      </c>
      <c r="AE38" s="1045"/>
      <c r="AF38" s="1045">
        <v>0.02</v>
      </c>
      <c r="AG38" s="1046">
        <f t="shared" si="74"/>
        <v>1.68</v>
      </c>
      <c r="AH38" s="1047"/>
      <c r="AI38" s="1048">
        <f>$BF$61</f>
        <v>948</v>
      </c>
      <c r="AJ38" s="1049">
        <f t="shared" si="75"/>
        <v>0</v>
      </c>
      <c r="AK38" s="1050">
        <f t="shared" si="65"/>
        <v>1592.6399999999999</v>
      </c>
      <c r="AL38" s="1040">
        <f t="shared" si="66"/>
        <v>1.969514510890292E-4</v>
      </c>
      <c r="AM38" s="1043">
        <f t="shared" si="67"/>
        <v>21</v>
      </c>
      <c r="AN38" s="1044">
        <f t="shared" si="76"/>
        <v>21</v>
      </c>
      <c r="AO38" s="1045"/>
      <c r="AP38" s="1045">
        <f t="shared" si="77"/>
        <v>0.02</v>
      </c>
      <c r="AQ38" s="1038">
        <f t="shared" si="68"/>
        <v>0</v>
      </c>
      <c r="AR38" s="1039">
        <f t="shared" si="69"/>
        <v>398.15999999999997</v>
      </c>
      <c r="AT38" s="1043">
        <f t="shared" si="70"/>
        <v>63</v>
      </c>
      <c r="AU38" s="1044">
        <f t="shared" si="78"/>
        <v>63</v>
      </c>
      <c r="AV38" s="1045"/>
      <c r="AW38" s="1045">
        <f t="shared" si="79"/>
        <v>0.02</v>
      </c>
      <c r="AX38" s="1038">
        <f t="shared" si="71"/>
        <v>0</v>
      </c>
      <c r="AY38" s="1039">
        <f t="shared" si="72"/>
        <v>1194.48</v>
      </c>
      <c r="AZ38" s="1003"/>
    </row>
    <row r="39" spans="1:52" ht="12.75" x14ac:dyDescent="0.2">
      <c r="A39" s="1000" t="s">
        <v>731</v>
      </c>
      <c r="C39" s="1029" t="s">
        <v>644</v>
      </c>
      <c r="E39" s="1030"/>
      <c r="F39" s="1031"/>
      <c r="G39" s="1031"/>
      <c r="H39" s="1031"/>
      <c r="I39" s="1031"/>
      <c r="J39" s="1031"/>
      <c r="K39" s="1031"/>
      <c r="L39" s="1031"/>
      <c r="M39" s="1031"/>
      <c r="N39" s="1031"/>
      <c r="O39" s="1031"/>
      <c r="P39" s="1032"/>
      <c r="Q39" s="1033"/>
      <c r="R39" s="1033"/>
      <c r="S39" s="1033"/>
      <c r="T39" s="1033"/>
      <c r="U39" s="1033"/>
      <c r="V39" s="1033"/>
      <c r="W39" s="1033"/>
      <c r="X39" s="1033"/>
      <c r="Y39" s="1033"/>
      <c r="Z39" s="1033"/>
      <c r="AA39" s="1033"/>
      <c r="AB39" s="1034"/>
      <c r="AC39" s="1035"/>
      <c r="AD39" s="1036"/>
      <c r="AE39" s="1036"/>
      <c r="AF39" s="1036"/>
      <c r="AG39" s="1036"/>
      <c r="AH39" s="1036"/>
      <c r="AI39" s="1037"/>
      <c r="AJ39" s="1038"/>
      <c r="AK39" s="1039"/>
      <c r="AL39" s="1040"/>
      <c r="AM39" s="1035"/>
      <c r="AN39" s="1036"/>
      <c r="AO39" s="1036"/>
      <c r="AP39" s="1036"/>
      <c r="AQ39" s="1038"/>
      <c r="AR39" s="1039"/>
      <c r="AT39" s="1035"/>
      <c r="AU39" s="1036"/>
      <c r="AV39" s="1036"/>
      <c r="AW39" s="1036"/>
      <c r="AX39" s="1038"/>
      <c r="AY39" s="1039"/>
    </row>
    <row r="40" spans="1:52" ht="12.75" x14ac:dyDescent="0.2">
      <c r="A40" s="1000" t="s">
        <v>731</v>
      </c>
      <c r="B40" s="1001" t="s">
        <v>317</v>
      </c>
      <c r="C40" s="1041" t="s">
        <v>695</v>
      </c>
      <c r="E40" s="1042">
        <v>1</v>
      </c>
      <c r="F40" s="1033">
        <v>1</v>
      </c>
      <c r="G40" s="1033">
        <v>1</v>
      </c>
      <c r="H40" s="1033">
        <v>1</v>
      </c>
      <c r="I40" s="1033">
        <v>1</v>
      </c>
      <c r="J40" s="1033">
        <v>1</v>
      </c>
      <c r="K40" s="1033">
        <v>1</v>
      </c>
      <c r="L40" s="1033">
        <v>1</v>
      </c>
      <c r="M40" s="1033">
        <v>1</v>
      </c>
      <c r="N40" s="1033">
        <v>1</v>
      </c>
      <c r="O40" s="1033">
        <v>1</v>
      </c>
      <c r="P40" s="1034">
        <v>1</v>
      </c>
      <c r="Q40" s="1033">
        <v>1</v>
      </c>
      <c r="R40" s="1033">
        <v>1</v>
      </c>
      <c r="S40" s="1033">
        <v>1</v>
      </c>
      <c r="T40" s="1033">
        <v>1</v>
      </c>
      <c r="U40" s="1033">
        <v>1</v>
      </c>
      <c r="V40" s="1033">
        <v>1</v>
      </c>
      <c r="W40" s="1033">
        <v>1</v>
      </c>
      <c r="X40" s="1033">
        <v>1</v>
      </c>
      <c r="Y40" s="1033">
        <v>1</v>
      </c>
      <c r="Z40" s="1033">
        <v>1</v>
      </c>
      <c r="AA40" s="1033">
        <v>1</v>
      </c>
      <c r="AB40" s="1033">
        <v>1</v>
      </c>
      <c r="AC40" s="1043">
        <f t="shared" ref="AC40:AC45" si="80">COUNTA(E40:AB40)*21</f>
        <v>504</v>
      </c>
      <c r="AD40" s="1044">
        <f>COUNTA(E40:AB40)*21</f>
        <v>504</v>
      </c>
      <c r="AE40" s="1045"/>
      <c r="AF40" s="1045">
        <v>0.33</v>
      </c>
      <c r="AG40" s="1046">
        <f>AF40*AD40</f>
        <v>166.32000000000002</v>
      </c>
      <c r="AH40" s="1047"/>
      <c r="AI40" s="1048">
        <f>$BF$58</f>
        <v>660</v>
      </c>
      <c r="AJ40" s="1049">
        <f>AC40*AE40*AG40</f>
        <v>0</v>
      </c>
      <c r="AK40" s="1050">
        <f t="shared" ref="AK40:AK45" si="81">AD40*AF40*AI40</f>
        <v>109771.20000000001</v>
      </c>
      <c r="AL40" s="1040">
        <f t="shared" ref="AL40:AL45" si="82">AK40/$AK$90</f>
        <v>1.3574691787085622E-2</v>
      </c>
      <c r="AM40" s="1043">
        <f t="shared" ref="AM40:AM45" si="83">COUNTA(E40:P40)*21</f>
        <v>252</v>
      </c>
      <c r="AN40" s="1044">
        <f>AM40</f>
        <v>252</v>
      </c>
      <c r="AO40" s="1045"/>
      <c r="AP40" s="1045">
        <f>AF40</f>
        <v>0.33</v>
      </c>
      <c r="AQ40" s="1038">
        <f t="shared" ref="AQ40:AQ45" si="84">AM40*AO40*AG40</f>
        <v>0</v>
      </c>
      <c r="AR40" s="1039">
        <f t="shared" ref="AR40:AR45" si="85">AN40*AP40*AI40</f>
        <v>54885.600000000006</v>
      </c>
      <c r="AT40" s="1043">
        <f t="shared" ref="AT40:AT45" si="86">COUNTA(Q40:AB40)*21</f>
        <v>252</v>
      </c>
      <c r="AU40" s="1044">
        <f>AT40</f>
        <v>252</v>
      </c>
      <c r="AV40" s="1045"/>
      <c r="AW40" s="1045">
        <f>AF40</f>
        <v>0.33</v>
      </c>
      <c r="AX40" s="1038">
        <f t="shared" ref="AX40:AX45" si="87">AT40*AV40*AG40</f>
        <v>0</v>
      </c>
      <c r="AY40" s="1039">
        <f t="shared" ref="AY40:AY45" si="88">AU40*AW40*AI40</f>
        <v>54885.600000000006</v>
      </c>
      <c r="AZ40" s="1003"/>
    </row>
    <row r="41" spans="1:52" ht="12.75" x14ac:dyDescent="0.2">
      <c r="A41" s="1000" t="s">
        <v>731</v>
      </c>
      <c r="B41" s="1001" t="s">
        <v>318</v>
      </c>
      <c r="C41" s="1041" t="s">
        <v>696</v>
      </c>
      <c r="E41" s="1042"/>
      <c r="F41" s="1033"/>
      <c r="G41" s="1033"/>
      <c r="H41" s="1033"/>
      <c r="I41" s="1033"/>
      <c r="J41" s="1033"/>
      <c r="K41" s="1033">
        <v>1</v>
      </c>
      <c r="L41" s="1033">
        <v>1</v>
      </c>
      <c r="M41" s="1033">
        <v>1</v>
      </c>
      <c r="N41" s="1033">
        <v>1</v>
      </c>
      <c r="O41" s="1033">
        <v>1</v>
      </c>
      <c r="P41" s="1034">
        <v>1</v>
      </c>
      <c r="Q41" s="1033">
        <v>1</v>
      </c>
      <c r="R41" s="1033">
        <v>1</v>
      </c>
      <c r="S41" s="1033">
        <v>1</v>
      </c>
      <c r="T41" s="1033">
        <v>1</v>
      </c>
      <c r="U41" s="1033">
        <v>1</v>
      </c>
      <c r="V41" s="1033">
        <v>1</v>
      </c>
      <c r="W41" s="1033">
        <v>1</v>
      </c>
      <c r="X41" s="1033">
        <v>1</v>
      </c>
      <c r="Y41" s="1033">
        <v>1</v>
      </c>
      <c r="Z41" s="1033">
        <v>1</v>
      </c>
      <c r="AA41" s="1033">
        <v>1</v>
      </c>
      <c r="AB41" s="1033">
        <v>1</v>
      </c>
      <c r="AC41" s="1043">
        <f t="shared" si="80"/>
        <v>378</v>
      </c>
      <c r="AD41" s="1044">
        <f t="shared" ref="AD41:AD45" si="89">COUNTA(E41:AB41)*21</f>
        <v>378</v>
      </c>
      <c r="AE41" s="1045"/>
      <c r="AF41" s="1045">
        <v>1.3</v>
      </c>
      <c r="AG41" s="1046">
        <f t="shared" ref="AG41:AG45" si="90">AF41*AD41</f>
        <v>491.40000000000003</v>
      </c>
      <c r="AH41" s="1047"/>
      <c r="AI41" s="1048">
        <f>$BF$59</f>
        <v>780</v>
      </c>
      <c r="AJ41" s="1049">
        <f t="shared" ref="AJ41:AJ45" si="91">AC41*AE41*AG41</f>
        <v>0</v>
      </c>
      <c r="AK41" s="1050">
        <f t="shared" si="81"/>
        <v>383292</v>
      </c>
      <c r="AL41" s="1040">
        <f t="shared" si="82"/>
        <v>4.7399233719369216E-2</v>
      </c>
      <c r="AM41" s="1043">
        <f t="shared" si="83"/>
        <v>126</v>
      </c>
      <c r="AN41" s="1044">
        <f t="shared" ref="AN41:AN45" si="92">AM41</f>
        <v>126</v>
      </c>
      <c r="AO41" s="1045"/>
      <c r="AP41" s="1045">
        <f t="shared" ref="AP41:AP45" si="93">AF41</f>
        <v>1.3</v>
      </c>
      <c r="AQ41" s="1038">
        <f t="shared" si="84"/>
        <v>0</v>
      </c>
      <c r="AR41" s="1039">
        <f t="shared" si="85"/>
        <v>127764.00000000001</v>
      </c>
      <c r="AT41" s="1043">
        <f t="shared" si="86"/>
        <v>252</v>
      </c>
      <c r="AU41" s="1044">
        <f t="shared" ref="AU41:AU45" si="94">AT41</f>
        <v>252</v>
      </c>
      <c r="AV41" s="1045"/>
      <c r="AW41" s="1045">
        <f t="shared" ref="AW41:AW45" si="95">AF41</f>
        <v>1.3</v>
      </c>
      <c r="AX41" s="1038">
        <f t="shared" si="87"/>
        <v>0</v>
      </c>
      <c r="AY41" s="1039">
        <f t="shared" si="88"/>
        <v>255528.00000000003</v>
      </c>
      <c r="AZ41" s="1003"/>
    </row>
    <row r="42" spans="1:52" ht="12.75" x14ac:dyDescent="0.2">
      <c r="A42" s="1000" t="s">
        <v>731</v>
      </c>
      <c r="B42" s="1001" t="s">
        <v>319</v>
      </c>
      <c r="C42" s="1041" t="s">
        <v>697</v>
      </c>
      <c r="E42" s="1042"/>
      <c r="F42" s="1033"/>
      <c r="G42" s="1033"/>
      <c r="H42" s="1033"/>
      <c r="I42" s="1033"/>
      <c r="J42" s="1033"/>
      <c r="K42" s="1033"/>
      <c r="L42" s="1033"/>
      <c r="M42" s="1033">
        <v>1</v>
      </c>
      <c r="N42" s="1033">
        <v>1</v>
      </c>
      <c r="O42" s="1033">
        <v>1</v>
      </c>
      <c r="P42" s="1034">
        <v>1</v>
      </c>
      <c r="Q42" s="1033"/>
      <c r="R42" s="1033">
        <v>1</v>
      </c>
      <c r="S42" s="1033">
        <v>1</v>
      </c>
      <c r="T42" s="1033">
        <v>1</v>
      </c>
      <c r="U42" s="1033">
        <v>1</v>
      </c>
      <c r="V42" s="1033"/>
      <c r="W42" s="1033">
        <v>1</v>
      </c>
      <c r="X42" s="1033">
        <v>1</v>
      </c>
      <c r="Y42" s="1033">
        <v>1</v>
      </c>
      <c r="Z42" s="1033">
        <v>1</v>
      </c>
      <c r="AA42" s="1033">
        <v>1</v>
      </c>
      <c r="AB42" s="1033">
        <v>1</v>
      </c>
      <c r="AC42" s="1043">
        <f t="shared" si="80"/>
        <v>294</v>
      </c>
      <c r="AD42" s="1044">
        <f t="shared" si="89"/>
        <v>294</v>
      </c>
      <c r="AE42" s="1045"/>
      <c r="AF42" s="1045">
        <v>0.33</v>
      </c>
      <c r="AG42" s="1046">
        <f t="shared" si="90"/>
        <v>97.02000000000001</v>
      </c>
      <c r="AH42" s="1047"/>
      <c r="AI42" s="1048">
        <f>$BF$60</f>
        <v>684</v>
      </c>
      <c r="AJ42" s="1049">
        <f t="shared" si="91"/>
        <v>0</v>
      </c>
      <c r="AK42" s="1050">
        <f t="shared" si="81"/>
        <v>66361.680000000008</v>
      </c>
      <c r="AL42" s="1040">
        <f t="shared" si="82"/>
        <v>8.2065182167381269E-3</v>
      </c>
      <c r="AM42" s="1043">
        <f t="shared" si="83"/>
        <v>84</v>
      </c>
      <c r="AN42" s="1044">
        <f t="shared" si="92"/>
        <v>84</v>
      </c>
      <c r="AO42" s="1045"/>
      <c r="AP42" s="1045">
        <f t="shared" si="93"/>
        <v>0.33</v>
      </c>
      <c r="AQ42" s="1038">
        <f t="shared" si="84"/>
        <v>0</v>
      </c>
      <c r="AR42" s="1039">
        <f t="shared" si="85"/>
        <v>18960.480000000003</v>
      </c>
      <c r="AT42" s="1043">
        <f t="shared" si="86"/>
        <v>210</v>
      </c>
      <c r="AU42" s="1044">
        <f t="shared" si="94"/>
        <v>210</v>
      </c>
      <c r="AV42" s="1045"/>
      <c r="AW42" s="1045">
        <f t="shared" si="95"/>
        <v>0.33</v>
      </c>
      <c r="AX42" s="1038">
        <f t="shared" si="87"/>
        <v>0</v>
      </c>
      <c r="AY42" s="1039">
        <f t="shared" si="88"/>
        <v>47401.2</v>
      </c>
      <c r="AZ42" s="1003"/>
    </row>
    <row r="43" spans="1:52" ht="13.35" customHeight="1" x14ac:dyDescent="0.2">
      <c r="A43" s="1000" t="s">
        <v>731</v>
      </c>
      <c r="B43" s="1001" t="s">
        <v>320</v>
      </c>
      <c r="C43" s="1041" t="s">
        <v>698</v>
      </c>
      <c r="E43" s="1042"/>
      <c r="F43" s="1033"/>
      <c r="G43" s="1033"/>
      <c r="H43" s="1033"/>
      <c r="I43" s="1033"/>
      <c r="J43" s="1033"/>
      <c r="K43" s="1033"/>
      <c r="L43" s="1033"/>
      <c r="M43" s="1033"/>
      <c r="N43" s="1033"/>
      <c r="O43" s="1033"/>
      <c r="P43" s="1034">
        <v>1</v>
      </c>
      <c r="Q43" s="1033"/>
      <c r="R43" s="1033"/>
      <c r="S43" s="1033"/>
      <c r="T43" s="1033"/>
      <c r="U43" s="1033">
        <v>1</v>
      </c>
      <c r="V43" s="1033"/>
      <c r="W43" s="1033">
        <v>1</v>
      </c>
      <c r="X43" s="1033"/>
      <c r="Y43" s="1033">
        <v>1</v>
      </c>
      <c r="Z43" s="1033"/>
      <c r="AA43" s="1033">
        <v>1</v>
      </c>
      <c r="AB43" s="1033">
        <v>1</v>
      </c>
      <c r="AC43" s="1043">
        <f t="shared" si="80"/>
        <v>126</v>
      </c>
      <c r="AD43" s="1044">
        <f t="shared" si="89"/>
        <v>126</v>
      </c>
      <c r="AE43" s="1045"/>
      <c r="AF43" s="1045">
        <v>0.02</v>
      </c>
      <c r="AG43" s="1046">
        <f t="shared" si="90"/>
        <v>2.52</v>
      </c>
      <c r="AH43" s="1047"/>
      <c r="AI43" s="1048">
        <f>$BF$63</f>
        <v>684</v>
      </c>
      <c r="AJ43" s="1049">
        <f t="shared" si="91"/>
        <v>0</v>
      </c>
      <c r="AK43" s="1050">
        <f t="shared" si="81"/>
        <v>1723.68</v>
      </c>
      <c r="AL43" s="1040">
        <f t="shared" si="82"/>
        <v>2.1315631731787338E-4</v>
      </c>
      <c r="AM43" s="1043">
        <f t="shared" si="83"/>
        <v>21</v>
      </c>
      <c r="AN43" s="1044">
        <f t="shared" si="92"/>
        <v>21</v>
      </c>
      <c r="AO43" s="1045"/>
      <c r="AP43" s="1045">
        <f t="shared" si="93"/>
        <v>0.02</v>
      </c>
      <c r="AQ43" s="1038">
        <f t="shared" si="84"/>
        <v>0</v>
      </c>
      <c r="AR43" s="1039">
        <f t="shared" si="85"/>
        <v>287.27999999999997</v>
      </c>
      <c r="AT43" s="1043">
        <f t="shared" si="86"/>
        <v>105</v>
      </c>
      <c r="AU43" s="1044">
        <f t="shared" si="94"/>
        <v>105</v>
      </c>
      <c r="AV43" s="1045"/>
      <c r="AW43" s="1045">
        <f t="shared" si="95"/>
        <v>0.02</v>
      </c>
      <c r="AX43" s="1038">
        <f t="shared" si="87"/>
        <v>0</v>
      </c>
      <c r="AY43" s="1039">
        <f t="shared" si="88"/>
        <v>1436.4</v>
      </c>
      <c r="AZ43" s="1003"/>
    </row>
    <row r="44" spans="1:52" ht="12.75" x14ac:dyDescent="0.2">
      <c r="A44" s="1000" t="s">
        <v>731</v>
      </c>
      <c r="B44" s="1001" t="s">
        <v>321</v>
      </c>
      <c r="C44" s="1041" t="s">
        <v>699</v>
      </c>
      <c r="E44" s="1042"/>
      <c r="F44" s="1033"/>
      <c r="G44" s="1033"/>
      <c r="H44" s="1033"/>
      <c r="I44" s="1033"/>
      <c r="J44" s="1033"/>
      <c r="K44" s="1033"/>
      <c r="L44" s="1033"/>
      <c r="M44" s="1033"/>
      <c r="N44" s="1033">
        <v>1</v>
      </c>
      <c r="O44" s="1033">
        <v>1</v>
      </c>
      <c r="P44" s="1034">
        <v>1</v>
      </c>
      <c r="Q44" s="1033"/>
      <c r="R44" s="1033">
        <v>1</v>
      </c>
      <c r="S44" s="1033">
        <v>1</v>
      </c>
      <c r="T44" s="1033">
        <v>1</v>
      </c>
      <c r="U44" s="1033">
        <v>1</v>
      </c>
      <c r="V44" s="1033"/>
      <c r="W44" s="1033">
        <v>1</v>
      </c>
      <c r="X44" s="1033"/>
      <c r="Y44" s="1033">
        <v>1</v>
      </c>
      <c r="Z44" s="1033"/>
      <c r="AA44" s="1033"/>
      <c r="AB44" s="1033">
        <v>1</v>
      </c>
      <c r="AC44" s="1043">
        <f t="shared" si="80"/>
        <v>210</v>
      </c>
      <c r="AD44" s="1044">
        <f t="shared" si="89"/>
        <v>210</v>
      </c>
      <c r="AE44" s="1045"/>
      <c r="AF44" s="1045">
        <v>0.7</v>
      </c>
      <c r="AG44" s="1046">
        <f t="shared" si="90"/>
        <v>147</v>
      </c>
      <c r="AH44" s="1047"/>
      <c r="AI44" s="1048">
        <f>$BF$59</f>
        <v>780</v>
      </c>
      <c r="AJ44" s="1049">
        <f t="shared" si="91"/>
        <v>0</v>
      </c>
      <c r="AK44" s="1050">
        <f t="shared" si="81"/>
        <v>114660</v>
      </c>
      <c r="AL44" s="1040">
        <f t="shared" si="82"/>
        <v>1.4179257950238654E-2</v>
      </c>
      <c r="AM44" s="1043">
        <f t="shared" si="83"/>
        <v>63</v>
      </c>
      <c r="AN44" s="1044">
        <f t="shared" si="92"/>
        <v>63</v>
      </c>
      <c r="AO44" s="1045"/>
      <c r="AP44" s="1045">
        <f t="shared" si="93"/>
        <v>0.7</v>
      </c>
      <c r="AQ44" s="1038">
        <f t="shared" si="84"/>
        <v>0</v>
      </c>
      <c r="AR44" s="1039">
        <f t="shared" si="85"/>
        <v>34397.999999999993</v>
      </c>
      <c r="AT44" s="1043">
        <f t="shared" si="86"/>
        <v>147</v>
      </c>
      <c r="AU44" s="1044">
        <f t="shared" si="94"/>
        <v>147</v>
      </c>
      <c r="AV44" s="1045"/>
      <c r="AW44" s="1045">
        <f t="shared" si="95"/>
        <v>0.7</v>
      </c>
      <c r="AX44" s="1038">
        <f t="shared" si="87"/>
        <v>0</v>
      </c>
      <c r="AY44" s="1039">
        <f t="shared" si="88"/>
        <v>80262</v>
      </c>
      <c r="AZ44" s="1003"/>
    </row>
    <row r="45" spans="1:52" ht="12.75" x14ac:dyDescent="0.2">
      <c r="A45" s="1000" t="s">
        <v>731</v>
      </c>
      <c r="B45" s="1001" t="s">
        <v>322</v>
      </c>
      <c r="C45" s="1041" t="s">
        <v>700</v>
      </c>
      <c r="E45" s="1042"/>
      <c r="F45" s="1033"/>
      <c r="G45" s="1033"/>
      <c r="H45" s="1033"/>
      <c r="I45" s="1033"/>
      <c r="J45" s="1033"/>
      <c r="K45" s="1033"/>
      <c r="L45" s="1033"/>
      <c r="M45" s="1033"/>
      <c r="N45" s="1033"/>
      <c r="O45" s="1033"/>
      <c r="P45" s="1034">
        <v>1</v>
      </c>
      <c r="Q45" s="1033"/>
      <c r="R45" s="1033"/>
      <c r="S45" s="1033"/>
      <c r="T45" s="1033"/>
      <c r="U45" s="1033">
        <v>1</v>
      </c>
      <c r="V45" s="1033"/>
      <c r="W45" s="1033"/>
      <c r="X45" s="1033"/>
      <c r="Y45" s="1033">
        <v>1</v>
      </c>
      <c r="Z45" s="1033"/>
      <c r="AA45" s="1033"/>
      <c r="AB45" s="1033">
        <v>1</v>
      </c>
      <c r="AC45" s="1043">
        <f t="shared" si="80"/>
        <v>84</v>
      </c>
      <c r="AD45" s="1044">
        <f t="shared" si="89"/>
        <v>84</v>
      </c>
      <c r="AE45" s="1045"/>
      <c r="AF45" s="1045">
        <v>0.03</v>
      </c>
      <c r="AG45" s="1046">
        <f t="shared" si="90"/>
        <v>2.52</v>
      </c>
      <c r="AH45" s="1047"/>
      <c r="AI45" s="1048">
        <f>$BF$61</f>
        <v>948</v>
      </c>
      <c r="AJ45" s="1049">
        <f t="shared" si="91"/>
        <v>0</v>
      </c>
      <c r="AK45" s="1050">
        <f t="shared" si="81"/>
        <v>2388.96</v>
      </c>
      <c r="AL45" s="1040">
        <f t="shared" si="82"/>
        <v>2.954271766335438E-4</v>
      </c>
      <c r="AM45" s="1043">
        <f t="shared" si="83"/>
        <v>21</v>
      </c>
      <c r="AN45" s="1044">
        <f t="shared" si="92"/>
        <v>21</v>
      </c>
      <c r="AO45" s="1045"/>
      <c r="AP45" s="1045">
        <f t="shared" si="93"/>
        <v>0.03</v>
      </c>
      <c r="AQ45" s="1038">
        <f t="shared" si="84"/>
        <v>0</v>
      </c>
      <c r="AR45" s="1039">
        <f t="shared" si="85"/>
        <v>597.24</v>
      </c>
      <c r="AT45" s="1043">
        <f t="shared" si="86"/>
        <v>63</v>
      </c>
      <c r="AU45" s="1044">
        <f t="shared" si="94"/>
        <v>63</v>
      </c>
      <c r="AV45" s="1045"/>
      <c r="AW45" s="1045">
        <f t="shared" si="95"/>
        <v>0.03</v>
      </c>
      <c r="AX45" s="1038">
        <f t="shared" si="87"/>
        <v>0</v>
      </c>
      <c r="AY45" s="1039">
        <f t="shared" si="88"/>
        <v>1791.7199999999998</v>
      </c>
      <c r="AZ45" s="1003"/>
    </row>
    <row r="46" spans="1:52" ht="12.75" x14ac:dyDescent="0.2">
      <c r="A46" s="1000" t="s">
        <v>731</v>
      </c>
      <c r="C46" s="1029" t="s">
        <v>645</v>
      </c>
      <c r="E46" s="1030"/>
      <c r="F46" s="1031"/>
      <c r="G46" s="1031"/>
      <c r="H46" s="1031"/>
      <c r="I46" s="1031"/>
      <c r="J46" s="1031"/>
      <c r="K46" s="1031"/>
      <c r="L46" s="1031"/>
      <c r="M46" s="1031"/>
      <c r="N46" s="1031"/>
      <c r="O46" s="1031"/>
      <c r="P46" s="1032"/>
      <c r="Q46" s="1033"/>
      <c r="R46" s="1033"/>
      <c r="S46" s="1033"/>
      <c r="T46" s="1033"/>
      <c r="U46" s="1033"/>
      <c r="V46" s="1033"/>
      <c r="W46" s="1033"/>
      <c r="X46" s="1033"/>
      <c r="Y46" s="1033"/>
      <c r="Z46" s="1033"/>
      <c r="AA46" s="1033"/>
      <c r="AB46" s="1034"/>
      <c r="AC46" s="1035"/>
      <c r="AD46" s="1036"/>
      <c r="AE46" s="1036"/>
      <c r="AF46" s="1036"/>
      <c r="AG46" s="1036"/>
      <c r="AH46" s="1036"/>
      <c r="AI46" s="1037"/>
      <c r="AJ46" s="1038"/>
      <c r="AK46" s="1039"/>
      <c r="AL46" s="1040"/>
      <c r="AM46" s="1035"/>
      <c r="AN46" s="1036"/>
      <c r="AO46" s="1036"/>
      <c r="AP46" s="1036"/>
      <c r="AQ46" s="1038"/>
      <c r="AR46" s="1039"/>
      <c r="AT46" s="1035"/>
      <c r="AU46" s="1036"/>
      <c r="AV46" s="1036"/>
      <c r="AW46" s="1036"/>
      <c r="AX46" s="1038"/>
      <c r="AY46" s="1039"/>
    </row>
    <row r="47" spans="1:52" ht="12.75" x14ac:dyDescent="0.2">
      <c r="A47" s="1000" t="s">
        <v>731</v>
      </c>
      <c r="B47" s="1001" t="s">
        <v>317</v>
      </c>
      <c r="C47" s="1041" t="s">
        <v>695</v>
      </c>
      <c r="E47" s="1042">
        <v>1</v>
      </c>
      <c r="F47" s="1033">
        <v>1</v>
      </c>
      <c r="G47" s="1033">
        <v>1</v>
      </c>
      <c r="H47" s="1033">
        <v>1</v>
      </c>
      <c r="I47" s="1033">
        <v>1</v>
      </c>
      <c r="J47" s="1033">
        <v>1</v>
      </c>
      <c r="K47" s="1033">
        <v>1</v>
      </c>
      <c r="L47" s="1033">
        <v>1</v>
      </c>
      <c r="M47" s="1033">
        <v>1</v>
      </c>
      <c r="N47" s="1033">
        <v>1</v>
      </c>
      <c r="O47" s="1033">
        <v>1</v>
      </c>
      <c r="P47" s="1034">
        <v>1</v>
      </c>
      <c r="Q47" s="1033">
        <v>1</v>
      </c>
      <c r="R47" s="1033">
        <v>1</v>
      </c>
      <c r="S47" s="1033">
        <v>1</v>
      </c>
      <c r="T47" s="1033">
        <v>1</v>
      </c>
      <c r="U47" s="1033">
        <v>1</v>
      </c>
      <c r="V47" s="1033">
        <v>1</v>
      </c>
      <c r="W47" s="1033">
        <v>1</v>
      </c>
      <c r="X47" s="1033">
        <v>1</v>
      </c>
      <c r="Y47" s="1033">
        <v>1</v>
      </c>
      <c r="Z47" s="1033">
        <v>1</v>
      </c>
      <c r="AA47" s="1033">
        <v>1</v>
      </c>
      <c r="AB47" s="1033">
        <v>1</v>
      </c>
      <c r="AC47" s="1043">
        <f t="shared" ref="AC47:AC52" si="96">COUNTA(E47:AB47)*21</f>
        <v>504</v>
      </c>
      <c r="AD47" s="1044">
        <f>COUNTA(E47:AB47)*21</f>
        <v>504</v>
      </c>
      <c r="AE47" s="1045"/>
      <c r="AF47" s="1045">
        <v>0.12</v>
      </c>
      <c r="AG47" s="1046">
        <f>AF47*AD47</f>
        <v>60.48</v>
      </c>
      <c r="AH47" s="1047"/>
      <c r="AI47" s="1048">
        <f>$BF$58</f>
        <v>660</v>
      </c>
      <c r="AJ47" s="1049">
        <f>AC47*AE47*AG47</f>
        <v>0</v>
      </c>
      <c r="AK47" s="1050">
        <f t="shared" ref="AK47:AK52" si="97">AD47*AF47*AI47</f>
        <v>39916.799999999996</v>
      </c>
      <c r="AL47" s="1040">
        <f t="shared" ref="AL47:AL52" si="98">AK47/$AK$90</f>
        <v>4.9362515589402248E-3</v>
      </c>
      <c r="AM47" s="1043">
        <f t="shared" ref="AM47:AM52" si="99">COUNTA(E47:P47)*21</f>
        <v>252</v>
      </c>
      <c r="AN47" s="1044">
        <f>AM47</f>
        <v>252</v>
      </c>
      <c r="AO47" s="1045"/>
      <c r="AP47" s="1045">
        <f>AF47</f>
        <v>0.12</v>
      </c>
      <c r="AQ47" s="1038">
        <f t="shared" ref="AQ47:AQ52" si="100">AM47*AO47*AG47</f>
        <v>0</v>
      </c>
      <c r="AR47" s="1039">
        <f t="shared" ref="AR47:AR52" si="101">AN47*AP47*AI47</f>
        <v>19958.399999999998</v>
      </c>
      <c r="AT47" s="1043">
        <f t="shared" ref="AT47:AT52" si="102">COUNTA(Q47:AB47)*21</f>
        <v>252</v>
      </c>
      <c r="AU47" s="1044">
        <f>AT47</f>
        <v>252</v>
      </c>
      <c r="AV47" s="1045"/>
      <c r="AW47" s="1045">
        <f>AF47</f>
        <v>0.12</v>
      </c>
      <c r="AX47" s="1038">
        <f t="shared" ref="AX47:AX52" si="103">AT47*AV47*AG47</f>
        <v>0</v>
      </c>
      <c r="AY47" s="1039">
        <f t="shared" ref="AY47:AY52" si="104">AU47*AW47*AI47</f>
        <v>19958.399999999998</v>
      </c>
      <c r="AZ47" s="1003"/>
    </row>
    <row r="48" spans="1:52" ht="12.75" x14ac:dyDescent="0.2">
      <c r="A48" s="1000" t="s">
        <v>731</v>
      </c>
      <c r="B48" s="1001" t="s">
        <v>318</v>
      </c>
      <c r="C48" s="1041" t="s">
        <v>696</v>
      </c>
      <c r="E48" s="1042"/>
      <c r="F48" s="1033"/>
      <c r="G48" s="1033"/>
      <c r="H48" s="1033"/>
      <c r="I48" s="1033"/>
      <c r="J48" s="1033"/>
      <c r="K48" s="1033">
        <v>1</v>
      </c>
      <c r="L48" s="1033">
        <v>1</v>
      </c>
      <c r="M48" s="1033">
        <v>1</v>
      </c>
      <c r="N48" s="1033">
        <v>1</v>
      </c>
      <c r="O48" s="1033">
        <v>1</v>
      </c>
      <c r="P48" s="1034">
        <v>1</v>
      </c>
      <c r="Q48" s="1033">
        <v>1</v>
      </c>
      <c r="R48" s="1033">
        <v>1</v>
      </c>
      <c r="S48" s="1033">
        <v>1</v>
      </c>
      <c r="T48" s="1033">
        <v>1</v>
      </c>
      <c r="U48" s="1033">
        <v>1</v>
      </c>
      <c r="V48" s="1033">
        <v>1</v>
      </c>
      <c r="W48" s="1033">
        <v>1</v>
      </c>
      <c r="X48" s="1033">
        <v>1</v>
      </c>
      <c r="Y48" s="1033">
        <v>1</v>
      </c>
      <c r="Z48" s="1033">
        <v>1</v>
      </c>
      <c r="AA48" s="1033">
        <v>1</v>
      </c>
      <c r="AB48" s="1033">
        <v>1</v>
      </c>
      <c r="AC48" s="1043">
        <f t="shared" si="96"/>
        <v>378</v>
      </c>
      <c r="AD48" s="1044">
        <f t="shared" ref="AD48:AD52" si="105">COUNTA(E48:AB48)*21</f>
        <v>378</v>
      </c>
      <c r="AE48" s="1045"/>
      <c r="AF48" s="1045">
        <v>0.48</v>
      </c>
      <c r="AG48" s="1046">
        <f t="shared" ref="AG48:AG52" si="106">AF48*AD48</f>
        <v>181.44</v>
      </c>
      <c r="AH48" s="1047"/>
      <c r="AI48" s="1048">
        <f>$BF$59</f>
        <v>780</v>
      </c>
      <c r="AJ48" s="1049">
        <f t="shared" ref="AJ48:AJ52" si="107">AC48*AE48*AG48</f>
        <v>0</v>
      </c>
      <c r="AK48" s="1050">
        <f t="shared" si="97"/>
        <v>141523.20000000001</v>
      </c>
      <c r="AL48" s="1040">
        <f t="shared" si="98"/>
        <v>1.7501255527151711E-2</v>
      </c>
      <c r="AM48" s="1043">
        <f t="shared" si="99"/>
        <v>126</v>
      </c>
      <c r="AN48" s="1044">
        <f t="shared" ref="AN48:AN52" si="108">AM48</f>
        <v>126</v>
      </c>
      <c r="AO48" s="1045"/>
      <c r="AP48" s="1045">
        <f t="shared" ref="AP48:AP52" si="109">AF48</f>
        <v>0.48</v>
      </c>
      <c r="AQ48" s="1038">
        <f t="shared" si="100"/>
        <v>0</v>
      </c>
      <c r="AR48" s="1039">
        <f t="shared" si="101"/>
        <v>47174.399999999994</v>
      </c>
      <c r="AT48" s="1043">
        <f t="shared" si="102"/>
        <v>252</v>
      </c>
      <c r="AU48" s="1044">
        <f t="shared" ref="AU48:AU52" si="110">AT48</f>
        <v>252</v>
      </c>
      <c r="AV48" s="1045"/>
      <c r="AW48" s="1045">
        <f t="shared" ref="AW48:AW52" si="111">AF48</f>
        <v>0.48</v>
      </c>
      <c r="AX48" s="1038">
        <f t="shared" si="103"/>
        <v>0</v>
      </c>
      <c r="AY48" s="1039">
        <f t="shared" si="104"/>
        <v>94348.799999999988</v>
      </c>
      <c r="AZ48" s="1003"/>
    </row>
    <row r="49" spans="1:59" ht="12.75" x14ac:dyDescent="0.2">
      <c r="A49" s="1000" t="s">
        <v>731</v>
      </c>
      <c r="B49" s="1001" t="s">
        <v>319</v>
      </c>
      <c r="C49" s="1041" t="s">
        <v>697</v>
      </c>
      <c r="E49" s="1042"/>
      <c r="F49" s="1033"/>
      <c r="G49" s="1033"/>
      <c r="H49" s="1033"/>
      <c r="I49" s="1033"/>
      <c r="J49" s="1033"/>
      <c r="K49" s="1033"/>
      <c r="L49" s="1033"/>
      <c r="M49" s="1033">
        <v>1</v>
      </c>
      <c r="N49" s="1033">
        <v>1</v>
      </c>
      <c r="O49" s="1033">
        <v>1</v>
      </c>
      <c r="P49" s="1034">
        <v>1</v>
      </c>
      <c r="Q49" s="1033"/>
      <c r="R49" s="1033">
        <v>1</v>
      </c>
      <c r="S49" s="1033">
        <v>1</v>
      </c>
      <c r="T49" s="1033">
        <v>1</v>
      </c>
      <c r="U49" s="1033">
        <v>1</v>
      </c>
      <c r="V49" s="1033"/>
      <c r="W49" s="1033">
        <v>1</v>
      </c>
      <c r="X49" s="1033">
        <v>1</v>
      </c>
      <c r="Y49" s="1033">
        <v>1</v>
      </c>
      <c r="Z49" s="1033">
        <v>1</v>
      </c>
      <c r="AA49" s="1033">
        <v>1</v>
      </c>
      <c r="AB49" s="1033">
        <v>1</v>
      </c>
      <c r="AC49" s="1043">
        <f t="shared" si="96"/>
        <v>294</v>
      </c>
      <c r="AD49" s="1044">
        <f t="shared" si="105"/>
        <v>294</v>
      </c>
      <c r="AE49" s="1045"/>
      <c r="AF49" s="1045">
        <v>0.12</v>
      </c>
      <c r="AG49" s="1046">
        <f t="shared" si="106"/>
        <v>35.28</v>
      </c>
      <c r="AH49" s="1047"/>
      <c r="AI49" s="1048">
        <f>$BF$60</f>
        <v>684</v>
      </c>
      <c r="AJ49" s="1049">
        <f t="shared" si="107"/>
        <v>0</v>
      </c>
      <c r="AK49" s="1050">
        <f t="shared" si="97"/>
        <v>24131.52</v>
      </c>
      <c r="AL49" s="1040">
        <f t="shared" si="98"/>
        <v>2.9841884424502275E-3</v>
      </c>
      <c r="AM49" s="1043">
        <f t="shared" si="99"/>
        <v>84</v>
      </c>
      <c r="AN49" s="1044">
        <f t="shared" si="108"/>
        <v>84</v>
      </c>
      <c r="AO49" s="1045"/>
      <c r="AP49" s="1045">
        <f t="shared" si="109"/>
        <v>0.12</v>
      </c>
      <c r="AQ49" s="1038">
        <f t="shared" si="100"/>
        <v>0</v>
      </c>
      <c r="AR49" s="1039">
        <f t="shared" si="101"/>
        <v>6894.72</v>
      </c>
      <c r="AT49" s="1043">
        <f t="shared" si="102"/>
        <v>210</v>
      </c>
      <c r="AU49" s="1044">
        <f t="shared" si="110"/>
        <v>210</v>
      </c>
      <c r="AV49" s="1045"/>
      <c r="AW49" s="1045">
        <f t="shared" si="111"/>
        <v>0.12</v>
      </c>
      <c r="AX49" s="1038">
        <f t="shared" si="103"/>
        <v>0</v>
      </c>
      <c r="AY49" s="1039">
        <f t="shared" si="104"/>
        <v>17236.8</v>
      </c>
      <c r="AZ49" s="1003"/>
    </row>
    <row r="50" spans="1:59" ht="13.35" customHeight="1" x14ac:dyDescent="0.2">
      <c r="A50" s="1000" t="s">
        <v>731</v>
      </c>
      <c r="B50" s="1001" t="s">
        <v>320</v>
      </c>
      <c r="C50" s="1041" t="s">
        <v>698</v>
      </c>
      <c r="E50" s="1042"/>
      <c r="F50" s="1033"/>
      <c r="G50" s="1033"/>
      <c r="H50" s="1033"/>
      <c r="I50" s="1033"/>
      <c r="J50" s="1033"/>
      <c r="K50" s="1033"/>
      <c r="L50" s="1033"/>
      <c r="M50" s="1033"/>
      <c r="N50" s="1033"/>
      <c r="O50" s="1033"/>
      <c r="P50" s="1034">
        <v>1</v>
      </c>
      <c r="Q50" s="1033"/>
      <c r="R50" s="1033"/>
      <c r="S50" s="1033"/>
      <c r="T50" s="1033"/>
      <c r="U50" s="1033">
        <v>1</v>
      </c>
      <c r="V50" s="1033"/>
      <c r="W50" s="1033">
        <v>1</v>
      </c>
      <c r="X50" s="1033"/>
      <c r="Y50" s="1033">
        <v>1</v>
      </c>
      <c r="Z50" s="1033"/>
      <c r="AA50" s="1033">
        <v>1</v>
      </c>
      <c r="AB50" s="1033">
        <v>1</v>
      </c>
      <c r="AC50" s="1043">
        <f t="shared" si="96"/>
        <v>126</v>
      </c>
      <c r="AD50" s="1044">
        <f t="shared" si="105"/>
        <v>126</v>
      </c>
      <c r="AE50" s="1045"/>
      <c r="AF50" s="1045">
        <v>0.01</v>
      </c>
      <c r="AG50" s="1046">
        <f t="shared" si="106"/>
        <v>1.26</v>
      </c>
      <c r="AH50" s="1047"/>
      <c r="AI50" s="1048">
        <f>$BF$63</f>
        <v>684</v>
      </c>
      <c r="AJ50" s="1049">
        <f t="shared" si="107"/>
        <v>0</v>
      </c>
      <c r="AK50" s="1050">
        <f t="shared" si="97"/>
        <v>861.84</v>
      </c>
      <c r="AL50" s="1040">
        <f t="shared" si="98"/>
        <v>1.0657815865893669E-4</v>
      </c>
      <c r="AM50" s="1043">
        <f t="shared" si="99"/>
        <v>21</v>
      </c>
      <c r="AN50" s="1044">
        <f t="shared" si="108"/>
        <v>21</v>
      </c>
      <c r="AO50" s="1045"/>
      <c r="AP50" s="1045">
        <f t="shared" si="109"/>
        <v>0.01</v>
      </c>
      <c r="AQ50" s="1038">
        <f t="shared" si="100"/>
        <v>0</v>
      </c>
      <c r="AR50" s="1039">
        <f t="shared" si="101"/>
        <v>143.63999999999999</v>
      </c>
      <c r="AT50" s="1043">
        <f t="shared" si="102"/>
        <v>105</v>
      </c>
      <c r="AU50" s="1044">
        <f t="shared" si="110"/>
        <v>105</v>
      </c>
      <c r="AV50" s="1045"/>
      <c r="AW50" s="1045">
        <f t="shared" si="111"/>
        <v>0.01</v>
      </c>
      <c r="AX50" s="1038">
        <f t="shared" si="103"/>
        <v>0</v>
      </c>
      <c r="AY50" s="1039">
        <f t="shared" si="104"/>
        <v>718.2</v>
      </c>
      <c r="AZ50" s="1003"/>
    </row>
    <row r="51" spans="1:59" ht="12.75" x14ac:dyDescent="0.2">
      <c r="A51" s="1000" t="s">
        <v>731</v>
      </c>
      <c r="B51" s="1001" t="s">
        <v>321</v>
      </c>
      <c r="C51" s="1041" t="s">
        <v>699</v>
      </c>
      <c r="E51" s="1042"/>
      <c r="F51" s="1033"/>
      <c r="G51" s="1033"/>
      <c r="H51" s="1033"/>
      <c r="I51" s="1033"/>
      <c r="J51" s="1033"/>
      <c r="K51" s="1033"/>
      <c r="L51" s="1033"/>
      <c r="M51" s="1033"/>
      <c r="N51" s="1033">
        <v>1</v>
      </c>
      <c r="O51" s="1033">
        <v>1</v>
      </c>
      <c r="P51" s="1034">
        <v>1</v>
      </c>
      <c r="Q51" s="1033"/>
      <c r="R51" s="1033">
        <v>1</v>
      </c>
      <c r="S51" s="1033">
        <v>1</v>
      </c>
      <c r="T51" s="1033">
        <v>1</v>
      </c>
      <c r="U51" s="1033">
        <v>1</v>
      </c>
      <c r="V51" s="1033"/>
      <c r="W51" s="1033">
        <v>1</v>
      </c>
      <c r="X51" s="1033"/>
      <c r="Y51" s="1033">
        <v>1</v>
      </c>
      <c r="Z51" s="1033"/>
      <c r="AA51" s="1033"/>
      <c r="AB51" s="1033">
        <v>1</v>
      </c>
      <c r="AC51" s="1043">
        <f t="shared" si="96"/>
        <v>210</v>
      </c>
      <c r="AD51" s="1044">
        <f t="shared" si="105"/>
        <v>210</v>
      </c>
      <c r="AE51" s="1045"/>
      <c r="AF51" s="1045">
        <v>0.26</v>
      </c>
      <c r="AG51" s="1046">
        <f t="shared" si="106"/>
        <v>54.6</v>
      </c>
      <c r="AH51" s="1047"/>
      <c r="AI51" s="1048">
        <f>$BF$59</f>
        <v>780</v>
      </c>
      <c r="AJ51" s="1049">
        <f t="shared" si="107"/>
        <v>0</v>
      </c>
      <c r="AK51" s="1050">
        <f t="shared" si="97"/>
        <v>42588</v>
      </c>
      <c r="AL51" s="1040">
        <f t="shared" si="98"/>
        <v>5.2665815243743567E-3</v>
      </c>
      <c r="AM51" s="1043">
        <f t="shared" si="99"/>
        <v>63</v>
      </c>
      <c r="AN51" s="1044">
        <f t="shared" si="108"/>
        <v>63</v>
      </c>
      <c r="AO51" s="1045"/>
      <c r="AP51" s="1045">
        <f t="shared" si="109"/>
        <v>0.26</v>
      </c>
      <c r="AQ51" s="1038">
        <f t="shared" si="100"/>
        <v>0</v>
      </c>
      <c r="AR51" s="1039">
        <f t="shared" si="101"/>
        <v>12776.4</v>
      </c>
      <c r="AT51" s="1043">
        <f t="shared" si="102"/>
        <v>147</v>
      </c>
      <c r="AU51" s="1044">
        <f t="shared" si="110"/>
        <v>147</v>
      </c>
      <c r="AV51" s="1045"/>
      <c r="AW51" s="1045">
        <f t="shared" si="111"/>
        <v>0.26</v>
      </c>
      <c r="AX51" s="1038">
        <f t="shared" si="103"/>
        <v>0</v>
      </c>
      <c r="AY51" s="1039">
        <f t="shared" si="104"/>
        <v>29811.599999999999</v>
      </c>
      <c r="AZ51" s="1003"/>
    </row>
    <row r="52" spans="1:59" ht="12.75" x14ac:dyDescent="0.2">
      <c r="A52" s="1000" t="s">
        <v>731</v>
      </c>
      <c r="B52" s="1001" t="s">
        <v>322</v>
      </c>
      <c r="C52" s="1041" t="s">
        <v>700</v>
      </c>
      <c r="E52" s="1042"/>
      <c r="F52" s="1033"/>
      <c r="G52" s="1033"/>
      <c r="H52" s="1033"/>
      <c r="I52" s="1033"/>
      <c r="J52" s="1033"/>
      <c r="K52" s="1033"/>
      <c r="L52" s="1033"/>
      <c r="M52" s="1033"/>
      <c r="N52" s="1033"/>
      <c r="O52" s="1033"/>
      <c r="P52" s="1034">
        <v>1</v>
      </c>
      <c r="Q52" s="1033"/>
      <c r="R52" s="1033"/>
      <c r="S52" s="1033"/>
      <c r="T52" s="1033"/>
      <c r="U52" s="1033">
        <v>1</v>
      </c>
      <c r="V52" s="1033"/>
      <c r="W52" s="1033"/>
      <c r="X52" s="1033"/>
      <c r="Y52" s="1033">
        <v>1</v>
      </c>
      <c r="Z52" s="1033"/>
      <c r="AA52" s="1033"/>
      <c r="AB52" s="1033">
        <v>1</v>
      </c>
      <c r="AC52" s="1043">
        <f t="shared" si="96"/>
        <v>84</v>
      </c>
      <c r="AD52" s="1044">
        <f t="shared" si="105"/>
        <v>84</v>
      </c>
      <c r="AE52" s="1045"/>
      <c r="AF52" s="1045">
        <v>0.01</v>
      </c>
      <c r="AG52" s="1046">
        <f t="shared" si="106"/>
        <v>0.84</v>
      </c>
      <c r="AH52" s="1047"/>
      <c r="AI52" s="1048">
        <f>$BF$61</f>
        <v>948</v>
      </c>
      <c r="AJ52" s="1049">
        <f t="shared" si="107"/>
        <v>0</v>
      </c>
      <c r="AK52" s="1050">
        <f t="shared" si="97"/>
        <v>796.31999999999994</v>
      </c>
      <c r="AL52" s="1040">
        <f t="shared" si="98"/>
        <v>9.84757255445146E-5</v>
      </c>
      <c r="AM52" s="1043">
        <f t="shared" si="99"/>
        <v>21</v>
      </c>
      <c r="AN52" s="1044">
        <f t="shared" si="108"/>
        <v>21</v>
      </c>
      <c r="AO52" s="1045"/>
      <c r="AP52" s="1045">
        <f t="shared" si="109"/>
        <v>0.01</v>
      </c>
      <c r="AQ52" s="1038">
        <f t="shared" si="100"/>
        <v>0</v>
      </c>
      <c r="AR52" s="1039">
        <f t="shared" si="101"/>
        <v>199.07999999999998</v>
      </c>
      <c r="AT52" s="1043">
        <f t="shared" si="102"/>
        <v>63</v>
      </c>
      <c r="AU52" s="1044">
        <f t="shared" si="110"/>
        <v>63</v>
      </c>
      <c r="AV52" s="1045"/>
      <c r="AW52" s="1045">
        <f t="shared" si="111"/>
        <v>0.01</v>
      </c>
      <c r="AX52" s="1038">
        <f t="shared" si="103"/>
        <v>0</v>
      </c>
      <c r="AY52" s="1039">
        <f t="shared" si="104"/>
        <v>597.24</v>
      </c>
      <c r="AZ52" s="1003"/>
    </row>
    <row r="53" spans="1:59" ht="12.75" x14ac:dyDescent="0.2">
      <c r="A53" s="1000" t="s">
        <v>731</v>
      </c>
      <c r="C53" s="1029" t="s">
        <v>646</v>
      </c>
      <c r="E53" s="1030"/>
      <c r="F53" s="1031"/>
      <c r="G53" s="1031"/>
      <c r="H53" s="1031"/>
      <c r="I53" s="1031"/>
      <c r="J53" s="1031"/>
      <c r="K53" s="1031"/>
      <c r="L53" s="1031"/>
      <c r="M53" s="1031"/>
      <c r="N53" s="1031"/>
      <c r="O53" s="1031"/>
      <c r="P53" s="1032"/>
      <c r="Q53" s="1033"/>
      <c r="R53" s="1033"/>
      <c r="S53" s="1033"/>
      <c r="T53" s="1033"/>
      <c r="U53" s="1033"/>
      <c r="V53" s="1033"/>
      <c r="W53" s="1033"/>
      <c r="X53" s="1033"/>
      <c r="Y53" s="1033"/>
      <c r="Z53" s="1033"/>
      <c r="AA53" s="1033"/>
      <c r="AB53" s="1034"/>
      <c r="AC53" s="1035"/>
      <c r="AD53" s="1036"/>
      <c r="AE53" s="1036"/>
      <c r="AF53" s="1036"/>
      <c r="AG53" s="1036"/>
      <c r="AH53" s="1036"/>
      <c r="AI53" s="1037"/>
      <c r="AJ53" s="1038"/>
      <c r="AK53" s="1039"/>
      <c r="AL53" s="1040"/>
      <c r="AM53" s="1035"/>
      <c r="AN53" s="1036"/>
      <c r="AO53" s="1036"/>
      <c r="AP53" s="1036"/>
      <c r="AQ53" s="1038"/>
      <c r="AR53" s="1039"/>
      <c r="AT53" s="1035"/>
      <c r="AU53" s="1036"/>
      <c r="AV53" s="1036"/>
      <c r="AW53" s="1036"/>
      <c r="AX53" s="1038"/>
      <c r="AY53" s="1039"/>
    </row>
    <row r="54" spans="1:59" ht="13.5" thickBot="1" x14ac:dyDescent="0.25">
      <c r="A54" s="1000" t="s">
        <v>731</v>
      </c>
      <c r="B54" s="1001" t="s">
        <v>317</v>
      </c>
      <c r="C54" s="1041" t="s">
        <v>695</v>
      </c>
      <c r="E54" s="1042">
        <v>1</v>
      </c>
      <c r="F54" s="1033">
        <v>1</v>
      </c>
      <c r="G54" s="1033">
        <v>1</v>
      </c>
      <c r="H54" s="1033">
        <v>1</v>
      </c>
      <c r="I54" s="1033">
        <v>1</v>
      </c>
      <c r="J54" s="1033">
        <v>1</v>
      </c>
      <c r="K54" s="1033">
        <v>1</v>
      </c>
      <c r="L54" s="1033">
        <v>1</v>
      </c>
      <c r="M54" s="1033">
        <v>1</v>
      </c>
      <c r="N54" s="1033">
        <v>1</v>
      </c>
      <c r="O54" s="1033">
        <v>1</v>
      </c>
      <c r="P54" s="1034">
        <v>1</v>
      </c>
      <c r="Q54" s="1033">
        <v>1</v>
      </c>
      <c r="R54" s="1033">
        <v>1</v>
      </c>
      <c r="S54" s="1033">
        <v>1</v>
      </c>
      <c r="T54" s="1033">
        <v>1</v>
      </c>
      <c r="U54" s="1033">
        <v>1</v>
      </c>
      <c r="V54" s="1033">
        <v>1</v>
      </c>
      <c r="W54" s="1033">
        <v>1</v>
      </c>
      <c r="X54" s="1033">
        <v>1</v>
      </c>
      <c r="Y54" s="1033">
        <v>1</v>
      </c>
      <c r="Z54" s="1033">
        <v>1</v>
      </c>
      <c r="AA54" s="1033">
        <v>1</v>
      </c>
      <c r="AB54" s="1033">
        <v>1</v>
      </c>
      <c r="AC54" s="1043">
        <f t="shared" ref="AC54:AC59" si="112">COUNTA(E54:AB54)*21</f>
        <v>504</v>
      </c>
      <c r="AD54" s="1044">
        <f>COUNTA(E54:AB54)*21</f>
        <v>504</v>
      </c>
      <c r="AE54" s="1045"/>
      <c r="AF54" s="1045">
        <v>0.15000000000000002</v>
      </c>
      <c r="AG54" s="1046">
        <f>AF54*AD54</f>
        <v>75.600000000000009</v>
      </c>
      <c r="AH54" s="1047"/>
      <c r="AI54" s="1048">
        <f>$BF$58</f>
        <v>660</v>
      </c>
      <c r="AJ54" s="1049">
        <f>AC54*AE54*AG54</f>
        <v>0</v>
      </c>
      <c r="AK54" s="1050">
        <f t="shared" ref="AK54:AK59" si="113">AD54*AF54*AI54</f>
        <v>49896.000000000007</v>
      </c>
      <c r="AL54" s="1040">
        <f t="shared" ref="AL54:AL89" si="114">AK54/$AK$90</f>
        <v>6.1703144486752832E-3</v>
      </c>
      <c r="AM54" s="1043">
        <f t="shared" ref="AM54:AM59" si="115">COUNTA(E54:P54)*21</f>
        <v>252</v>
      </c>
      <c r="AN54" s="1044">
        <f>AM54</f>
        <v>252</v>
      </c>
      <c r="AO54" s="1045"/>
      <c r="AP54" s="1045">
        <f>AF54</f>
        <v>0.15000000000000002</v>
      </c>
      <c r="AQ54" s="1038">
        <f t="shared" ref="AQ54:AQ59" si="116">AM54*AO54*AG54</f>
        <v>0</v>
      </c>
      <c r="AR54" s="1039">
        <f t="shared" ref="AR54:AR59" si="117">AN54*AP54*AI54</f>
        <v>24948.000000000004</v>
      </c>
      <c r="AT54" s="1043">
        <f t="shared" ref="AT54:AT59" si="118">COUNTA(Q54:AB54)*21</f>
        <v>252</v>
      </c>
      <c r="AU54" s="1044">
        <f>AT54</f>
        <v>252</v>
      </c>
      <c r="AV54" s="1045"/>
      <c r="AW54" s="1045">
        <f>AF54</f>
        <v>0.15000000000000002</v>
      </c>
      <c r="AX54" s="1038">
        <f t="shared" ref="AX54:AX59" si="119">AT54*AV54*AG54</f>
        <v>0</v>
      </c>
      <c r="AY54" s="1039">
        <f t="shared" ref="AY54:AY59" si="120">AU54*AW54*AI54</f>
        <v>24948.000000000004</v>
      </c>
      <c r="AZ54" s="1003"/>
    </row>
    <row r="55" spans="1:59" ht="15" x14ac:dyDescent="0.25">
      <c r="A55" s="1000" t="s">
        <v>731</v>
      </c>
      <c r="B55" s="1001" t="s">
        <v>318</v>
      </c>
      <c r="C55" s="1041" t="s">
        <v>696</v>
      </c>
      <c r="E55" s="1042"/>
      <c r="F55" s="1033"/>
      <c r="G55" s="1033"/>
      <c r="H55" s="1033"/>
      <c r="I55" s="1033"/>
      <c r="J55" s="1033"/>
      <c r="K55" s="1033">
        <v>1</v>
      </c>
      <c r="L55" s="1033">
        <v>1</v>
      </c>
      <c r="M55" s="1033">
        <v>1</v>
      </c>
      <c r="N55" s="1033">
        <v>1</v>
      </c>
      <c r="O55" s="1033">
        <v>1</v>
      </c>
      <c r="P55" s="1034">
        <v>1</v>
      </c>
      <c r="Q55" s="1033">
        <v>1</v>
      </c>
      <c r="R55" s="1033">
        <v>1</v>
      </c>
      <c r="S55" s="1033">
        <v>1</v>
      </c>
      <c r="T55" s="1033">
        <v>1</v>
      </c>
      <c r="U55" s="1033">
        <v>1</v>
      </c>
      <c r="V55" s="1033">
        <v>1</v>
      </c>
      <c r="W55" s="1033">
        <v>1</v>
      </c>
      <c r="X55" s="1033">
        <v>1</v>
      </c>
      <c r="Y55" s="1033">
        <v>1</v>
      </c>
      <c r="Z55" s="1033">
        <v>1</v>
      </c>
      <c r="AA55" s="1033">
        <v>1</v>
      </c>
      <c r="AB55" s="1033">
        <v>1</v>
      </c>
      <c r="AC55" s="1043">
        <f t="shared" si="112"/>
        <v>378</v>
      </c>
      <c r="AD55" s="1044">
        <f t="shared" ref="AD55:AD59" si="121">COUNTA(E55:AB55)*21</f>
        <v>378</v>
      </c>
      <c r="AE55" s="1045"/>
      <c r="AF55" s="1045">
        <v>0.6</v>
      </c>
      <c r="AG55" s="1046">
        <f t="shared" ref="AG55:AG59" si="122">AF55*AD55</f>
        <v>226.79999999999998</v>
      </c>
      <c r="AH55" s="1047"/>
      <c r="AI55" s="1048">
        <f>$BF$59</f>
        <v>780</v>
      </c>
      <c r="AJ55" s="1049">
        <f t="shared" ref="AJ55:AJ59" si="123">AC55*AE55*AG55</f>
        <v>0</v>
      </c>
      <c r="AK55" s="1050">
        <f t="shared" si="113"/>
        <v>176904</v>
      </c>
      <c r="AL55" s="1040">
        <f t="shared" si="114"/>
        <v>2.1876569408939638E-2</v>
      </c>
      <c r="AM55" s="1043">
        <f t="shared" si="115"/>
        <v>126</v>
      </c>
      <c r="AN55" s="1044">
        <f t="shared" ref="AN55:AN59" si="124">AM55</f>
        <v>126</v>
      </c>
      <c r="AO55" s="1045"/>
      <c r="AP55" s="1045">
        <f t="shared" ref="AP55:AP59" si="125">AF55</f>
        <v>0.6</v>
      </c>
      <c r="AQ55" s="1038">
        <f t="shared" si="116"/>
        <v>0</v>
      </c>
      <c r="AR55" s="1039">
        <f t="shared" si="117"/>
        <v>58967.999999999993</v>
      </c>
      <c r="AT55" s="1043">
        <f t="shared" si="118"/>
        <v>252</v>
      </c>
      <c r="AU55" s="1044">
        <f t="shared" ref="AU55:AU59" si="126">AT55</f>
        <v>252</v>
      </c>
      <c r="AV55" s="1045"/>
      <c r="AW55" s="1045">
        <f t="shared" ref="AW55:AW59" si="127">AF55</f>
        <v>0.6</v>
      </c>
      <c r="AX55" s="1038">
        <f t="shared" si="119"/>
        <v>0</v>
      </c>
      <c r="AY55" s="1039">
        <f t="shared" si="120"/>
        <v>117935.99999999999</v>
      </c>
      <c r="AZ55" s="1003"/>
      <c r="BB55" s="1016"/>
      <c r="BC55" s="1016"/>
      <c r="BD55" s="1016"/>
      <c r="BE55" s="1016"/>
      <c r="BF55" s="1016"/>
      <c r="BG55" s="1052"/>
    </row>
    <row r="56" spans="1:59" ht="30" x14ac:dyDescent="0.25">
      <c r="A56" s="1000" t="s">
        <v>731</v>
      </c>
      <c r="B56" s="1001" t="s">
        <v>319</v>
      </c>
      <c r="C56" s="1041" t="s">
        <v>697</v>
      </c>
      <c r="E56" s="1042"/>
      <c r="F56" s="1033"/>
      <c r="G56" s="1033"/>
      <c r="H56" s="1033"/>
      <c r="I56" s="1033"/>
      <c r="J56" s="1033"/>
      <c r="K56" s="1033"/>
      <c r="L56" s="1033"/>
      <c r="M56" s="1033">
        <v>1</v>
      </c>
      <c r="N56" s="1033">
        <v>1</v>
      </c>
      <c r="O56" s="1033">
        <v>1</v>
      </c>
      <c r="P56" s="1034">
        <v>1</v>
      </c>
      <c r="Q56" s="1033"/>
      <c r="R56" s="1033">
        <v>1</v>
      </c>
      <c r="S56" s="1033">
        <v>1</v>
      </c>
      <c r="T56" s="1033">
        <v>1</v>
      </c>
      <c r="U56" s="1033">
        <v>1</v>
      </c>
      <c r="V56" s="1033"/>
      <c r="W56" s="1033">
        <v>1</v>
      </c>
      <c r="X56" s="1033">
        <v>1</v>
      </c>
      <c r="Y56" s="1033">
        <v>1</v>
      </c>
      <c r="Z56" s="1033">
        <v>1</v>
      </c>
      <c r="AA56" s="1033">
        <v>1</v>
      </c>
      <c r="AB56" s="1033">
        <v>1</v>
      </c>
      <c r="AC56" s="1043">
        <f t="shared" si="112"/>
        <v>294</v>
      </c>
      <c r="AD56" s="1044">
        <f t="shared" si="121"/>
        <v>294</v>
      </c>
      <c r="AE56" s="1045"/>
      <c r="AF56" s="1045">
        <v>0.15000000000000002</v>
      </c>
      <c r="AG56" s="1046">
        <f t="shared" si="122"/>
        <v>44.100000000000009</v>
      </c>
      <c r="AH56" s="1047"/>
      <c r="AI56" s="1048">
        <f>$BF$60</f>
        <v>684</v>
      </c>
      <c r="AJ56" s="1049">
        <f t="shared" si="123"/>
        <v>0</v>
      </c>
      <c r="AK56" s="1050">
        <f t="shared" si="113"/>
        <v>30164.400000000005</v>
      </c>
      <c r="AL56" s="1040">
        <f t="shared" si="114"/>
        <v>3.730235553062785E-3</v>
      </c>
      <c r="AM56" s="1043">
        <f t="shared" si="115"/>
        <v>84</v>
      </c>
      <c r="AN56" s="1044">
        <f t="shared" si="124"/>
        <v>84</v>
      </c>
      <c r="AO56" s="1045"/>
      <c r="AP56" s="1045">
        <f t="shared" si="125"/>
        <v>0.15000000000000002</v>
      </c>
      <c r="AQ56" s="1038">
        <f t="shared" si="116"/>
        <v>0</v>
      </c>
      <c r="AR56" s="1039">
        <f t="shared" si="117"/>
        <v>8618.4000000000015</v>
      </c>
      <c r="AT56" s="1043">
        <f t="shared" si="118"/>
        <v>210</v>
      </c>
      <c r="AU56" s="1044">
        <f t="shared" si="126"/>
        <v>210</v>
      </c>
      <c r="AV56" s="1045"/>
      <c r="AW56" s="1045">
        <f t="shared" si="127"/>
        <v>0.15000000000000002</v>
      </c>
      <c r="AX56" s="1038">
        <f t="shared" si="119"/>
        <v>0</v>
      </c>
      <c r="AY56" s="1039">
        <f t="shared" si="120"/>
        <v>21546.000000000004</v>
      </c>
      <c r="AZ56" s="1003"/>
      <c r="BB56" s="1053" t="s">
        <v>648</v>
      </c>
      <c r="BC56" s="1053" t="s">
        <v>649</v>
      </c>
      <c r="BD56" s="1054">
        <f>BF56/1.2/8</f>
        <v>111.25</v>
      </c>
      <c r="BE56" s="1055">
        <v>0.05</v>
      </c>
      <c r="BF56" s="1056">
        <v>1068</v>
      </c>
      <c r="BG56" s="1052" t="s">
        <v>650</v>
      </c>
    </row>
    <row r="57" spans="1:59" ht="13.35" customHeight="1" x14ac:dyDescent="0.25">
      <c r="A57" s="1000" t="s">
        <v>731</v>
      </c>
      <c r="B57" s="1001" t="s">
        <v>320</v>
      </c>
      <c r="C57" s="1041" t="s">
        <v>698</v>
      </c>
      <c r="E57" s="1042"/>
      <c r="F57" s="1033"/>
      <c r="G57" s="1033"/>
      <c r="H57" s="1033"/>
      <c r="I57" s="1033"/>
      <c r="J57" s="1033"/>
      <c r="K57" s="1033"/>
      <c r="L57" s="1033"/>
      <c r="M57" s="1033"/>
      <c r="N57" s="1033"/>
      <c r="O57" s="1033"/>
      <c r="P57" s="1034">
        <v>1</v>
      </c>
      <c r="Q57" s="1033"/>
      <c r="R57" s="1033"/>
      <c r="S57" s="1033"/>
      <c r="T57" s="1033"/>
      <c r="U57" s="1033">
        <v>1</v>
      </c>
      <c r="V57" s="1033"/>
      <c r="W57" s="1033">
        <v>1</v>
      </c>
      <c r="X57" s="1033"/>
      <c r="Y57" s="1033">
        <v>1</v>
      </c>
      <c r="Z57" s="1033"/>
      <c r="AA57" s="1033">
        <v>1</v>
      </c>
      <c r="AB57" s="1033">
        <v>1</v>
      </c>
      <c r="AC57" s="1043">
        <f t="shared" si="112"/>
        <v>126</v>
      </c>
      <c r="AD57" s="1044">
        <f t="shared" si="121"/>
        <v>126</v>
      </c>
      <c r="AE57" s="1045"/>
      <c r="AF57" s="1045">
        <v>0.01</v>
      </c>
      <c r="AG57" s="1046">
        <f t="shared" si="122"/>
        <v>1.26</v>
      </c>
      <c r="AH57" s="1047"/>
      <c r="AI57" s="1048">
        <f>$BF$63</f>
        <v>684</v>
      </c>
      <c r="AJ57" s="1049">
        <f t="shared" si="123"/>
        <v>0</v>
      </c>
      <c r="AK57" s="1050">
        <f t="shared" si="113"/>
        <v>861.84</v>
      </c>
      <c r="AL57" s="1040">
        <f t="shared" si="114"/>
        <v>1.0657815865893669E-4</v>
      </c>
      <c r="AM57" s="1043">
        <f t="shared" si="115"/>
        <v>21</v>
      </c>
      <c r="AN57" s="1044">
        <f t="shared" si="124"/>
        <v>21</v>
      </c>
      <c r="AO57" s="1045"/>
      <c r="AP57" s="1045">
        <f t="shared" si="125"/>
        <v>0.01</v>
      </c>
      <c r="AQ57" s="1038">
        <f t="shared" si="116"/>
        <v>0</v>
      </c>
      <c r="AR57" s="1039">
        <f t="shared" si="117"/>
        <v>143.63999999999999</v>
      </c>
      <c r="AT57" s="1043">
        <f t="shared" si="118"/>
        <v>105</v>
      </c>
      <c r="AU57" s="1044">
        <f t="shared" si="126"/>
        <v>105</v>
      </c>
      <c r="AV57" s="1045"/>
      <c r="AW57" s="1045">
        <f t="shared" si="127"/>
        <v>0.01</v>
      </c>
      <c r="AX57" s="1038">
        <f t="shared" si="119"/>
        <v>0</v>
      </c>
      <c r="AY57" s="1039">
        <f t="shared" si="120"/>
        <v>718.2</v>
      </c>
      <c r="AZ57" s="1003"/>
      <c r="BB57" s="1053" t="s">
        <v>651</v>
      </c>
      <c r="BC57" s="1053" t="s">
        <v>649</v>
      </c>
      <c r="BD57" s="1054">
        <f t="shared" ref="BD57:BD59" si="128">BF57/1.2/8</f>
        <v>92.5</v>
      </c>
      <c r="BE57" s="1055">
        <v>0.08</v>
      </c>
      <c r="BF57" s="1056">
        <v>888</v>
      </c>
      <c r="BG57" s="1052" t="s">
        <v>652</v>
      </c>
    </row>
    <row r="58" spans="1:59" ht="15" x14ac:dyDescent="0.25">
      <c r="A58" s="1000" t="s">
        <v>731</v>
      </c>
      <c r="B58" s="1001" t="s">
        <v>321</v>
      </c>
      <c r="C58" s="1041" t="s">
        <v>699</v>
      </c>
      <c r="E58" s="1042"/>
      <c r="F58" s="1033"/>
      <c r="G58" s="1033"/>
      <c r="H58" s="1033"/>
      <c r="I58" s="1033"/>
      <c r="J58" s="1033"/>
      <c r="K58" s="1033"/>
      <c r="L58" s="1033"/>
      <c r="M58" s="1033"/>
      <c r="N58" s="1033">
        <v>1</v>
      </c>
      <c r="O58" s="1033">
        <v>1</v>
      </c>
      <c r="P58" s="1034">
        <v>1</v>
      </c>
      <c r="Q58" s="1033"/>
      <c r="R58" s="1033">
        <v>1</v>
      </c>
      <c r="S58" s="1033">
        <v>1</v>
      </c>
      <c r="T58" s="1033">
        <v>1</v>
      </c>
      <c r="U58" s="1033">
        <v>1</v>
      </c>
      <c r="V58" s="1033"/>
      <c r="W58" s="1033">
        <v>1</v>
      </c>
      <c r="X58" s="1033"/>
      <c r="Y58" s="1033">
        <v>1</v>
      </c>
      <c r="Z58" s="1033"/>
      <c r="AA58" s="1033"/>
      <c r="AB58" s="1033">
        <v>1</v>
      </c>
      <c r="AC58" s="1043">
        <f t="shared" si="112"/>
        <v>210</v>
      </c>
      <c r="AD58" s="1044">
        <f t="shared" si="121"/>
        <v>210</v>
      </c>
      <c r="AE58" s="1045"/>
      <c r="AF58" s="1045">
        <v>0.3</v>
      </c>
      <c r="AG58" s="1046">
        <f t="shared" si="122"/>
        <v>63</v>
      </c>
      <c r="AH58" s="1047"/>
      <c r="AI58" s="1048">
        <f>$BF$59</f>
        <v>780</v>
      </c>
      <c r="AJ58" s="1049">
        <f t="shared" si="123"/>
        <v>0</v>
      </c>
      <c r="AK58" s="1050">
        <f t="shared" si="113"/>
        <v>49140</v>
      </c>
      <c r="AL58" s="1040">
        <f t="shared" si="114"/>
        <v>6.0768248358165659E-3</v>
      </c>
      <c r="AM58" s="1043">
        <f t="shared" si="115"/>
        <v>63</v>
      </c>
      <c r="AN58" s="1044">
        <f t="shared" si="124"/>
        <v>63</v>
      </c>
      <c r="AO58" s="1045"/>
      <c r="AP58" s="1045">
        <f t="shared" si="125"/>
        <v>0.3</v>
      </c>
      <c r="AQ58" s="1038">
        <f t="shared" si="116"/>
        <v>0</v>
      </c>
      <c r="AR58" s="1039">
        <f t="shared" si="117"/>
        <v>14741.999999999998</v>
      </c>
      <c r="AT58" s="1043">
        <f t="shared" si="118"/>
        <v>147</v>
      </c>
      <c r="AU58" s="1044">
        <f t="shared" si="126"/>
        <v>147</v>
      </c>
      <c r="AV58" s="1045"/>
      <c r="AW58" s="1045">
        <f t="shared" si="127"/>
        <v>0.3</v>
      </c>
      <c r="AX58" s="1038">
        <f t="shared" si="119"/>
        <v>0</v>
      </c>
      <c r="AY58" s="1039">
        <f t="shared" si="120"/>
        <v>34398</v>
      </c>
      <c r="AZ58" s="1003"/>
      <c r="BB58" s="1053" t="s">
        <v>653</v>
      </c>
      <c r="BC58" s="1053" t="s">
        <v>649</v>
      </c>
      <c r="BD58" s="1057">
        <f>550/8</f>
        <v>68.75</v>
      </c>
      <c r="BE58" s="1055">
        <v>0.1</v>
      </c>
      <c r="BF58" s="1058">
        <f>550*1.2</f>
        <v>660</v>
      </c>
      <c r="BG58" s="1052" t="s">
        <v>652</v>
      </c>
    </row>
    <row r="59" spans="1:59" ht="15" x14ac:dyDescent="0.25">
      <c r="A59" s="1000" t="s">
        <v>731</v>
      </c>
      <c r="B59" s="1001" t="s">
        <v>322</v>
      </c>
      <c r="C59" s="1041" t="s">
        <v>700</v>
      </c>
      <c r="E59" s="1042"/>
      <c r="F59" s="1033"/>
      <c r="G59" s="1033"/>
      <c r="H59" s="1033"/>
      <c r="I59" s="1033"/>
      <c r="J59" s="1033"/>
      <c r="K59" s="1033"/>
      <c r="L59" s="1033"/>
      <c r="M59" s="1033"/>
      <c r="N59" s="1033"/>
      <c r="O59" s="1033"/>
      <c r="P59" s="1034">
        <v>1</v>
      </c>
      <c r="Q59" s="1033"/>
      <c r="R59" s="1033"/>
      <c r="S59" s="1033"/>
      <c r="T59" s="1033"/>
      <c r="U59" s="1033">
        <v>1</v>
      </c>
      <c r="V59" s="1033"/>
      <c r="W59" s="1033"/>
      <c r="X59" s="1033"/>
      <c r="Y59" s="1033">
        <v>1</v>
      </c>
      <c r="Z59" s="1033"/>
      <c r="AA59" s="1033"/>
      <c r="AB59" s="1033">
        <v>1</v>
      </c>
      <c r="AC59" s="1043">
        <f t="shared" si="112"/>
        <v>84</v>
      </c>
      <c r="AD59" s="1044">
        <f t="shared" si="121"/>
        <v>84</v>
      </c>
      <c r="AE59" s="1045"/>
      <c r="AF59" s="1045">
        <v>0.02</v>
      </c>
      <c r="AG59" s="1046">
        <f t="shared" si="122"/>
        <v>1.68</v>
      </c>
      <c r="AH59" s="1047"/>
      <c r="AI59" s="1048">
        <f>$BF$61</f>
        <v>948</v>
      </c>
      <c r="AJ59" s="1049">
        <f t="shared" si="123"/>
        <v>0</v>
      </c>
      <c r="AK59" s="1050">
        <f t="shared" si="113"/>
        <v>1592.6399999999999</v>
      </c>
      <c r="AL59" s="1040">
        <f t="shared" si="114"/>
        <v>1.969514510890292E-4</v>
      </c>
      <c r="AM59" s="1043">
        <f t="shared" si="115"/>
        <v>21</v>
      </c>
      <c r="AN59" s="1044">
        <f t="shared" si="124"/>
        <v>21</v>
      </c>
      <c r="AO59" s="1045"/>
      <c r="AP59" s="1045">
        <f t="shared" si="125"/>
        <v>0.02</v>
      </c>
      <c r="AQ59" s="1038">
        <f t="shared" si="116"/>
        <v>0</v>
      </c>
      <c r="AR59" s="1039">
        <f t="shared" si="117"/>
        <v>398.15999999999997</v>
      </c>
      <c r="AT59" s="1043">
        <f t="shared" si="118"/>
        <v>63</v>
      </c>
      <c r="AU59" s="1044">
        <f t="shared" si="126"/>
        <v>63</v>
      </c>
      <c r="AV59" s="1045"/>
      <c r="AW59" s="1045">
        <f t="shared" si="127"/>
        <v>0.02</v>
      </c>
      <c r="AX59" s="1038">
        <f t="shared" si="119"/>
        <v>0</v>
      </c>
      <c r="AY59" s="1039">
        <f t="shared" si="120"/>
        <v>1194.48</v>
      </c>
      <c r="AZ59" s="1003"/>
      <c r="BB59" s="1053" t="s">
        <v>654</v>
      </c>
      <c r="BC59" s="1053" t="s">
        <v>649</v>
      </c>
      <c r="BD59" s="1054">
        <f t="shared" si="128"/>
        <v>81.25</v>
      </c>
      <c r="BE59" s="1055">
        <v>0.4</v>
      </c>
      <c r="BF59" s="1056">
        <v>780</v>
      </c>
      <c r="BG59" s="1052" t="s">
        <v>655</v>
      </c>
    </row>
    <row r="60" spans="1:59" ht="15" x14ac:dyDescent="0.25">
      <c r="A60" s="1000" t="s">
        <v>733</v>
      </c>
      <c r="C60" s="1059" t="s">
        <v>673</v>
      </c>
      <c r="E60" s="1042"/>
      <c r="F60" s="1033"/>
      <c r="G60" s="1033"/>
      <c r="H60" s="1033"/>
      <c r="I60" s="1033"/>
      <c r="J60" s="1033"/>
      <c r="K60" s="1033"/>
      <c r="L60" s="1033"/>
      <c r="M60" s="1033"/>
      <c r="N60" s="1033"/>
      <c r="O60" s="1033"/>
      <c r="P60" s="1034"/>
      <c r="Q60" s="1033"/>
      <c r="R60" s="1033"/>
      <c r="S60" s="1033"/>
      <c r="T60" s="1033"/>
      <c r="U60" s="1033"/>
      <c r="V60" s="1033"/>
      <c r="W60" s="1033"/>
      <c r="X60" s="1033"/>
      <c r="Y60" s="1033"/>
      <c r="Z60" s="1033"/>
      <c r="AA60" s="1033"/>
      <c r="AB60" s="1033"/>
      <c r="AC60" s="1060"/>
      <c r="AD60" s="1061"/>
      <c r="AE60" s="1062"/>
      <c r="AF60" s="1063" t="s">
        <v>688</v>
      </c>
      <c r="AG60" s="1064">
        <f>SUM(AG5:AG10)</f>
        <v>952.14</v>
      </c>
      <c r="AH60" s="1065"/>
      <c r="AI60" s="1066"/>
      <c r="AJ60" s="1049"/>
      <c r="AK60" s="1050"/>
      <c r="AL60" s="1040">
        <f t="shared" si="114"/>
        <v>0</v>
      </c>
      <c r="AM60" s="1060"/>
      <c r="AN60" s="1061"/>
      <c r="AO60" s="1063"/>
      <c r="AP60" s="1063"/>
      <c r="AQ60" s="1038"/>
      <c r="AR60" s="1039"/>
      <c r="AS60" s="1067"/>
      <c r="AT60" s="1060"/>
      <c r="AU60" s="1061"/>
      <c r="AV60" s="1063"/>
      <c r="AW60" s="1063"/>
      <c r="AX60" s="1038"/>
      <c r="AY60" s="1039"/>
      <c r="AZ60" s="1067"/>
      <c r="BB60" s="1053" t="s">
        <v>656</v>
      </c>
      <c r="BC60" s="1053" t="s">
        <v>649</v>
      </c>
      <c r="BD60" s="1054">
        <f t="shared" ref="BD60:BD65" si="129">BF60/1.2/8</f>
        <v>71.25</v>
      </c>
      <c r="BE60" s="1055">
        <v>0.15</v>
      </c>
      <c r="BF60" s="1056">
        <v>684</v>
      </c>
      <c r="BG60" s="1052" t="s">
        <v>657</v>
      </c>
    </row>
    <row r="61" spans="1:59" ht="30" x14ac:dyDescent="0.25">
      <c r="A61" s="1000" t="s">
        <v>733</v>
      </c>
      <c r="B61" s="1001" t="s">
        <v>317</v>
      </c>
      <c r="C61" s="1041" t="s">
        <v>702</v>
      </c>
      <c r="E61" s="1042"/>
      <c r="F61" s="1033"/>
      <c r="G61" s="1033"/>
      <c r="H61" s="1033"/>
      <c r="I61" s="1033"/>
      <c r="J61" s="1033"/>
      <c r="K61" s="1033">
        <v>1</v>
      </c>
      <c r="L61" s="1033">
        <v>1</v>
      </c>
      <c r="M61" s="1033">
        <v>1</v>
      </c>
      <c r="N61" s="1033">
        <v>1</v>
      </c>
      <c r="O61" s="1033">
        <v>1</v>
      </c>
      <c r="P61" s="1034">
        <v>1</v>
      </c>
      <c r="Q61" s="1033">
        <v>1</v>
      </c>
      <c r="R61" s="1033">
        <v>1</v>
      </c>
      <c r="S61" s="1033">
        <v>1</v>
      </c>
      <c r="T61" s="1033">
        <v>1</v>
      </c>
      <c r="U61" s="1033">
        <v>1</v>
      </c>
      <c r="V61" s="1033"/>
      <c r="W61" s="1033"/>
      <c r="X61" s="1033"/>
      <c r="Y61" s="1033"/>
      <c r="Z61" s="1033"/>
      <c r="AA61" s="1033"/>
      <c r="AB61" s="1033"/>
      <c r="AC61" s="1043">
        <f>COUNTA(E61:AB61)*21</f>
        <v>231</v>
      </c>
      <c r="AD61" s="1044">
        <f t="shared" si="9"/>
        <v>231</v>
      </c>
      <c r="AE61" s="1051"/>
      <c r="AF61" s="1045">
        <v>0.125</v>
      </c>
      <c r="AG61" s="1046">
        <f t="shared" ref="AG61:AG65" si="130">AF61*AD61</f>
        <v>28.875</v>
      </c>
      <c r="AH61" s="1047"/>
      <c r="AI61" s="1048">
        <f>$BF$58</f>
        <v>660</v>
      </c>
      <c r="AJ61" s="1049">
        <f t="shared" si="11"/>
        <v>0</v>
      </c>
      <c r="AK61" s="1050">
        <f t="shared" si="1"/>
        <v>19057.5</v>
      </c>
      <c r="AL61" s="1040">
        <f t="shared" si="114"/>
        <v>2.3567173241468091E-3</v>
      </c>
      <c r="AM61" s="1043">
        <f>COUNTA(E61:P61)*21</f>
        <v>126</v>
      </c>
      <c r="AN61" s="1044">
        <f t="shared" ref="AN61:AN65" si="131">AM61</f>
        <v>126</v>
      </c>
      <c r="AO61" s="1045"/>
      <c r="AP61" s="1045">
        <f t="shared" ref="AP61:AP65" si="132">AF61</f>
        <v>0.125</v>
      </c>
      <c r="AQ61" s="1038">
        <f>AM61*AO61*AG61</f>
        <v>0</v>
      </c>
      <c r="AR61" s="1039">
        <f t="shared" ref="AR61:AR65" si="133">AN61*AP61*AI61</f>
        <v>10395</v>
      </c>
      <c r="AT61" s="1043">
        <f>COUNTA(Q61:AB61)*21</f>
        <v>105</v>
      </c>
      <c r="AU61" s="1044">
        <f t="shared" ref="AU61:AU65" si="134">AT61</f>
        <v>105</v>
      </c>
      <c r="AV61" s="1045"/>
      <c r="AW61" s="1045">
        <f t="shared" ref="AW61:AW89" si="135">AF61</f>
        <v>0.125</v>
      </c>
      <c r="AX61" s="1038">
        <f>AT61*AV61*AG61</f>
        <v>0</v>
      </c>
      <c r="AY61" s="1039">
        <f t="shared" ref="AY61:AY65" si="136">AU61*AW61*AI61</f>
        <v>8662.5</v>
      </c>
      <c r="AZ61" s="1003"/>
      <c r="BB61" s="1053" t="s">
        <v>658</v>
      </c>
      <c r="BC61" s="1053" t="s">
        <v>649</v>
      </c>
      <c r="BD61" s="1054">
        <f t="shared" si="129"/>
        <v>98.75</v>
      </c>
      <c r="BE61" s="1055">
        <v>0.05</v>
      </c>
      <c r="BF61" s="1056">
        <v>948</v>
      </c>
      <c r="BG61" s="1052" t="s">
        <v>659</v>
      </c>
    </row>
    <row r="62" spans="1:59" ht="15" x14ac:dyDescent="0.25">
      <c r="A62" s="1000" t="s">
        <v>733</v>
      </c>
      <c r="B62" s="1001" t="s">
        <v>318</v>
      </c>
      <c r="C62" s="1041" t="s">
        <v>703</v>
      </c>
      <c r="E62" s="1042"/>
      <c r="F62" s="1033"/>
      <c r="G62" s="1033"/>
      <c r="H62" s="1033"/>
      <c r="I62" s="1033"/>
      <c r="J62" s="1033"/>
      <c r="K62" s="1033">
        <v>1</v>
      </c>
      <c r="L62" s="1033">
        <v>1</v>
      </c>
      <c r="M62" s="1033">
        <v>1</v>
      </c>
      <c r="N62" s="1033">
        <v>1</v>
      </c>
      <c r="O62" s="1033">
        <v>1</v>
      </c>
      <c r="P62" s="1034">
        <v>1</v>
      </c>
      <c r="Q62" s="1033">
        <v>1</v>
      </c>
      <c r="R62" s="1033">
        <v>1</v>
      </c>
      <c r="S62" s="1033">
        <v>1</v>
      </c>
      <c r="T62" s="1033">
        <v>1</v>
      </c>
      <c r="U62" s="1033">
        <v>1</v>
      </c>
      <c r="V62" s="1033"/>
      <c r="W62" s="1033"/>
      <c r="X62" s="1033"/>
      <c r="Y62" s="1033"/>
      <c r="Z62" s="1033"/>
      <c r="AA62" s="1033"/>
      <c r="AB62" s="1033"/>
      <c r="AC62" s="1043">
        <f>COUNTA(E62:AB62)*21</f>
        <v>231</v>
      </c>
      <c r="AD62" s="1044">
        <f t="shared" si="9"/>
        <v>231</v>
      </c>
      <c r="AE62" s="1051"/>
      <c r="AF62" s="1045">
        <v>1.25</v>
      </c>
      <c r="AG62" s="1046">
        <f t="shared" si="130"/>
        <v>288.75</v>
      </c>
      <c r="AH62" s="1047"/>
      <c r="AI62" s="1048">
        <f>$BF$59</f>
        <v>780</v>
      </c>
      <c r="AJ62" s="1049">
        <f t="shared" si="11"/>
        <v>0</v>
      </c>
      <c r="AK62" s="1050">
        <f t="shared" si="1"/>
        <v>225225</v>
      </c>
      <c r="AL62" s="1040">
        <f t="shared" si="114"/>
        <v>2.7852113830825927E-2</v>
      </c>
      <c r="AM62" s="1043">
        <f>COUNTA(E62:P62)*21</f>
        <v>126</v>
      </c>
      <c r="AN62" s="1044">
        <f t="shared" si="131"/>
        <v>126</v>
      </c>
      <c r="AO62" s="1045"/>
      <c r="AP62" s="1045">
        <f t="shared" si="132"/>
        <v>1.25</v>
      </c>
      <c r="AQ62" s="1038">
        <f>AM62*AO62*AG62</f>
        <v>0</v>
      </c>
      <c r="AR62" s="1039">
        <f t="shared" si="133"/>
        <v>122850</v>
      </c>
      <c r="AT62" s="1043">
        <f>COUNTA(Q62:AB62)*21</f>
        <v>105</v>
      </c>
      <c r="AU62" s="1044">
        <f t="shared" si="134"/>
        <v>105</v>
      </c>
      <c r="AV62" s="1045"/>
      <c r="AW62" s="1045">
        <f t="shared" si="135"/>
        <v>1.25</v>
      </c>
      <c r="AX62" s="1038">
        <f>AT62*AV62*AG62</f>
        <v>0</v>
      </c>
      <c r="AY62" s="1039">
        <f t="shared" si="136"/>
        <v>102375</v>
      </c>
      <c r="AZ62" s="1003"/>
      <c r="BB62" s="1053" t="s">
        <v>660</v>
      </c>
      <c r="BC62" s="1053" t="s">
        <v>649</v>
      </c>
      <c r="BD62" s="1054">
        <f t="shared" si="129"/>
        <v>88.75</v>
      </c>
      <c r="BE62" s="1055">
        <v>0.05</v>
      </c>
      <c r="BF62" s="1056">
        <v>852</v>
      </c>
      <c r="BG62" s="1052" t="s">
        <v>661</v>
      </c>
    </row>
    <row r="63" spans="1:59" ht="30" x14ac:dyDescent="0.25">
      <c r="A63" s="1000" t="s">
        <v>733</v>
      </c>
      <c r="B63" s="1001" t="s">
        <v>319</v>
      </c>
      <c r="C63" s="1041" t="s">
        <v>704</v>
      </c>
      <c r="E63" s="1042"/>
      <c r="F63" s="1033"/>
      <c r="G63" s="1033"/>
      <c r="H63" s="1033"/>
      <c r="I63" s="1033"/>
      <c r="J63" s="1033"/>
      <c r="K63" s="1033"/>
      <c r="L63" s="1033"/>
      <c r="M63" s="1033"/>
      <c r="N63" s="1033">
        <v>1</v>
      </c>
      <c r="O63" s="1033">
        <v>1</v>
      </c>
      <c r="P63" s="1034">
        <v>1</v>
      </c>
      <c r="Q63" s="1033"/>
      <c r="R63" s="1033">
        <v>1</v>
      </c>
      <c r="S63" s="1033">
        <v>1</v>
      </c>
      <c r="T63" s="1033">
        <v>1</v>
      </c>
      <c r="U63" s="1033">
        <v>1</v>
      </c>
      <c r="V63" s="1033"/>
      <c r="W63" s="1033"/>
      <c r="X63" s="1033"/>
      <c r="Y63" s="1033"/>
      <c r="Z63" s="1033"/>
      <c r="AA63" s="1033"/>
      <c r="AB63" s="1033"/>
      <c r="AC63" s="1043">
        <f>COUNTA(E63:AB63)*21</f>
        <v>147</v>
      </c>
      <c r="AD63" s="1044">
        <f t="shared" si="9"/>
        <v>147</v>
      </c>
      <c r="AE63" s="1051"/>
      <c r="AF63" s="1045">
        <v>0.25</v>
      </c>
      <c r="AG63" s="1046">
        <f t="shared" si="130"/>
        <v>36.75</v>
      </c>
      <c r="AH63" s="1047"/>
      <c r="AI63" s="1048">
        <f>$BF$60</f>
        <v>684</v>
      </c>
      <c r="AJ63" s="1049">
        <f t="shared" si="11"/>
        <v>0</v>
      </c>
      <c r="AK63" s="1050">
        <f t="shared" si="1"/>
        <v>25137</v>
      </c>
      <c r="AL63" s="1040">
        <f t="shared" si="114"/>
        <v>3.1085296275523201E-3</v>
      </c>
      <c r="AM63" s="1043">
        <f>COUNTA(E63:P63)*21</f>
        <v>63</v>
      </c>
      <c r="AN63" s="1044">
        <f t="shared" si="131"/>
        <v>63</v>
      </c>
      <c r="AO63" s="1045"/>
      <c r="AP63" s="1045">
        <f t="shared" si="132"/>
        <v>0.25</v>
      </c>
      <c r="AQ63" s="1038">
        <f>AM63*AO63*AG63</f>
        <v>0</v>
      </c>
      <c r="AR63" s="1039">
        <f t="shared" si="133"/>
        <v>10773</v>
      </c>
      <c r="AT63" s="1043">
        <f>COUNTA(Q63:AB63)*21</f>
        <v>84</v>
      </c>
      <c r="AU63" s="1044">
        <f t="shared" si="134"/>
        <v>84</v>
      </c>
      <c r="AV63" s="1045"/>
      <c r="AW63" s="1045">
        <f t="shared" si="135"/>
        <v>0.25</v>
      </c>
      <c r="AX63" s="1038">
        <f>AT63*AV63*AG63</f>
        <v>0</v>
      </c>
      <c r="AY63" s="1039">
        <f t="shared" si="136"/>
        <v>14364</v>
      </c>
      <c r="AZ63" s="1003"/>
      <c r="BB63" s="1053" t="s">
        <v>662</v>
      </c>
      <c r="BC63" s="1053" t="s">
        <v>649</v>
      </c>
      <c r="BD63" s="1054">
        <f t="shared" si="129"/>
        <v>71.25</v>
      </c>
      <c r="BE63" s="1055">
        <v>0.03</v>
      </c>
      <c r="BF63" s="1056">
        <v>684</v>
      </c>
      <c r="BG63" s="1052" t="s">
        <v>663</v>
      </c>
    </row>
    <row r="64" spans="1:59" ht="30" x14ac:dyDescent="0.25">
      <c r="A64" s="1000" t="s">
        <v>733</v>
      </c>
      <c r="B64" s="1001" t="s">
        <v>320</v>
      </c>
      <c r="C64" s="1068" t="s">
        <v>705</v>
      </c>
      <c r="E64" s="1042"/>
      <c r="F64" s="1033"/>
      <c r="G64" s="1033"/>
      <c r="H64" s="1033"/>
      <c r="I64" s="1033"/>
      <c r="J64" s="1033"/>
      <c r="K64" s="1033"/>
      <c r="L64" s="1033"/>
      <c r="M64" s="1033"/>
      <c r="N64" s="1033"/>
      <c r="O64" s="1033"/>
      <c r="P64" s="1034">
        <v>1</v>
      </c>
      <c r="Q64" s="1033"/>
      <c r="R64" s="1033"/>
      <c r="S64" s="1033">
        <v>1</v>
      </c>
      <c r="T64" s="1033"/>
      <c r="U64" s="1033">
        <v>1</v>
      </c>
      <c r="V64" s="1033"/>
      <c r="W64" s="1033"/>
      <c r="X64" s="1033"/>
      <c r="Y64" s="1033"/>
      <c r="Z64" s="1033"/>
      <c r="AA64" s="1033"/>
      <c r="AB64" s="1033"/>
      <c r="AC64" s="1043">
        <f>COUNTA(E64:AB64)*21</f>
        <v>63</v>
      </c>
      <c r="AD64" s="1044">
        <f t="shared" si="9"/>
        <v>63</v>
      </c>
      <c r="AE64" s="1051"/>
      <c r="AF64" s="1045">
        <v>0.125</v>
      </c>
      <c r="AG64" s="1046">
        <f t="shared" si="130"/>
        <v>7.875</v>
      </c>
      <c r="AH64" s="1047"/>
      <c r="AI64" s="1048">
        <f>$BF$63</f>
        <v>684</v>
      </c>
      <c r="AJ64" s="1049">
        <f t="shared" si="11"/>
        <v>0</v>
      </c>
      <c r="AK64" s="1050">
        <f t="shared" si="1"/>
        <v>5386.5</v>
      </c>
      <c r="AL64" s="1040">
        <f t="shared" si="114"/>
        <v>6.6611349161835429E-4</v>
      </c>
      <c r="AM64" s="1043">
        <f>COUNTA(E64:P64)*21</f>
        <v>21</v>
      </c>
      <c r="AN64" s="1044">
        <f t="shared" si="131"/>
        <v>21</v>
      </c>
      <c r="AO64" s="1045"/>
      <c r="AP64" s="1045">
        <f t="shared" si="132"/>
        <v>0.125</v>
      </c>
      <c r="AQ64" s="1038">
        <f>AM64*AO64*AG64</f>
        <v>0</v>
      </c>
      <c r="AR64" s="1039">
        <f t="shared" si="133"/>
        <v>1795.5</v>
      </c>
      <c r="AT64" s="1043">
        <f>COUNTA(Q64:AB64)*21</f>
        <v>42</v>
      </c>
      <c r="AU64" s="1044">
        <f t="shared" si="134"/>
        <v>42</v>
      </c>
      <c r="AV64" s="1045"/>
      <c r="AW64" s="1045">
        <f t="shared" si="135"/>
        <v>0.125</v>
      </c>
      <c r="AX64" s="1038">
        <f>AT64*AV64*AG64</f>
        <v>0</v>
      </c>
      <c r="AY64" s="1039">
        <f t="shared" si="136"/>
        <v>3591</v>
      </c>
      <c r="AZ64" s="1003"/>
      <c r="BB64" s="1053" t="s">
        <v>664</v>
      </c>
      <c r="BC64" s="1053" t="s">
        <v>649</v>
      </c>
      <c r="BD64" s="1054">
        <f t="shared" si="129"/>
        <v>111.25</v>
      </c>
      <c r="BE64" s="1055">
        <v>0.05</v>
      </c>
      <c r="BF64" s="1056">
        <v>1068</v>
      </c>
      <c r="BG64" s="1052" t="s">
        <v>665</v>
      </c>
    </row>
    <row r="65" spans="1:63" ht="45" x14ac:dyDescent="0.25">
      <c r="A65" s="1000" t="s">
        <v>733</v>
      </c>
      <c r="B65" s="1001" t="s">
        <v>322</v>
      </c>
      <c r="C65" s="1068" t="s">
        <v>706</v>
      </c>
      <c r="E65" s="1042"/>
      <c r="F65" s="1033"/>
      <c r="G65" s="1033"/>
      <c r="H65" s="1033"/>
      <c r="I65" s="1033"/>
      <c r="J65" s="1033"/>
      <c r="K65" s="1033"/>
      <c r="L65" s="1033"/>
      <c r="M65" s="1033"/>
      <c r="N65" s="1033"/>
      <c r="O65" s="1033"/>
      <c r="P65" s="1034">
        <v>1</v>
      </c>
      <c r="Q65" s="1033"/>
      <c r="R65" s="1033"/>
      <c r="S65" s="1033"/>
      <c r="T65" s="1033"/>
      <c r="U65" s="1033">
        <v>1</v>
      </c>
      <c r="V65" s="1033"/>
      <c r="W65" s="1033"/>
      <c r="X65" s="1033"/>
      <c r="Y65" s="1033"/>
      <c r="Z65" s="1033"/>
      <c r="AA65" s="1033"/>
      <c r="AB65" s="1033"/>
      <c r="AC65" s="1043">
        <f>COUNTA(E65:AB65)*21</f>
        <v>42</v>
      </c>
      <c r="AD65" s="1044">
        <f t="shared" si="9"/>
        <v>42</v>
      </c>
      <c r="AE65" s="1051"/>
      <c r="AF65" s="1045">
        <v>0.125</v>
      </c>
      <c r="AG65" s="1046">
        <f t="shared" si="130"/>
        <v>5.25</v>
      </c>
      <c r="AH65" s="1047"/>
      <c r="AI65" s="1048">
        <f>$BF$61</f>
        <v>948</v>
      </c>
      <c r="AJ65" s="1049">
        <f t="shared" si="11"/>
        <v>0</v>
      </c>
      <c r="AK65" s="1050">
        <f t="shared" si="1"/>
        <v>4977</v>
      </c>
      <c r="AL65" s="1040">
        <f t="shared" si="114"/>
        <v>6.1547328465321632E-4</v>
      </c>
      <c r="AM65" s="1043">
        <f>COUNTA(E65:P65)*21</f>
        <v>21</v>
      </c>
      <c r="AN65" s="1044">
        <f t="shared" si="131"/>
        <v>21</v>
      </c>
      <c r="AO65" s="1045"/>
      <c r="AP65" s="1045">
        <f t="shared" si="132"/>
        <v>0.125</v>
      </c>
      <c r="AQ65" s="1038">
        <f>AM65*AO65*AG65</f>
        <v>0</v>
      </c>
      <c r="AR65" s="1039">
        <f t="shared" si="133"/>
        <v>2488.5</v>
      </c>
      <c r="AT65" s="1043">
        <f>COUNTA(Q65:AB65)*21</f>
        <v>21</v>
      </c>
      <c r="AU65" s="1044">
        <f t="shared" si="134"/>
        <v>21</v>
      </c>
      <c r="AV65" s="1045"/>
      <c r="AW65" s="1045">
        <f t="shared" si="135"/>
        <v>0.125</v>
      </c>
      <c r="AX65" s="1038">
        <f>AT65*AV65*AG65</f>
        <v>0</v>
      </c>
      <c r="AY65" s="1039">
        <f t="shared" si="136"/>
        <v>2488.5</v>
      </c>
      <c r="AZ65" s="1003"/>
      <c r="BB65" s="1053" t="s">
        <v>666</v>
      </c>
      <c r="BC65" s="1053" t="s">
        <v>649</v>
      </c>
      <c r="BD65" s="1054">
        <f t="shared" si="129"/>
        <v>150</v>
      </c>
      <c r="BE65" s="1055">
        <v>0.04</v>
      </c>
      <c r="BF65" s="1056">
        <v>1440</v>
      </c>
      <c r="BG65" s="1052" t="s">
        <v>667</v>
      </c>
    </row>
    <row r="66" spans="1:63" x14ac:dyDescent="0.2">
      <c r="A66" s="1000" t="s">
        <v>323</v>
      </c>
      <c r="C66" s="1059" t="s">
        <v>674</v>
      </c>
      <c r="E66" s="1042"/>
      <c r="F66" s="1033"/>
      <c r="G66" s="1033"/>
      <c r="H66" s="1033"/>
      <c r="I66" s="1033"/>
      <c r="J66" s="1033"/>
      <c r="K66" s="1033"/>
      <c r="L66" s="1033"/>
      <c r="M66" s="1033"/>
      <c r="N66" s="1033"/>
      <c r="O66" s="1033"/>
      <c r="P66" s="1034"/>
      <c r="Q66" s="1033"/>
      <c r="R66" s="1033"/>
      <c r="S66" s="1033"/>
      <c r="T66" s="1033"/>
      <c r="U66" s="1033"/>
      <c r="V66" s="1033"/>
      <c r="W66" s="1033"/>
      <c r="X66" s="1033"/>
      <c r="Y66" s="1033"/>
      <c r="Z66" s="1033"/>
      <c r="AA66" s="1033"/>
      <c r="AB66" s="1033"/>
      <c r="AC66" s="1060"/>
      <c r="AD66" s="1061"/>
      <c r="AE66" s="1062"/>
      <c r="AF66" s="1063" t="s">
        <v>688</v>
      </c>
      <c r="AG66" s="1064">
        <f>SUM(AG61:AG65)</f>
        <v>367.5</v>
      </c>
      <c r="AH66" s="1065"/>
      <c r="AI66" s="1066"/>
      <c r="AJ66" s="1049"/>
      <c r="AK66" s="1050"/>
      <c r="AL66" s="1040">
        <f t="shared" si="114"/>
        <v>0</v>
      </c>
      <c r="AM66" s="1060"/>
      <c r="AN66" s="1061"/>
      <c r="AO66" s="1063"/>
      <c r="AP66" s="1063"/>
      <c r="AQ66" s="1038"/>
      <c r="AR66" s="1039"/>
      <c r="AT66" s="1060"/>
      <c r="AU66" s="1061"/>
      <c r="AV66" s="1063"/>
      <c r="AW66" s="1063"/>
      <c r="AX66" s="1038"/>
      <c r="AY66" s="1039"/>
    </row>
    <row r="67" spans="1:63" ht="12.75" x14ac:dyDescent="0.2">
      <c r="A67" s="1000" t="s">
        <v>731</v>
      </c>
      <c r="B67" s="1001" t="s">
        <v>317</v>
      </c>
      <c r="C67" s="1041" t="s">
        <v>707</v>
      </c>
      <c r="E67" s="1042"/>
      <c r="F67" s="1033"/>
      <c r="G67" s="1033"/>
      <c r="H67" s="1033"/>
      <c r="I67" s="1033"/>
      <c r="J67" s="1033"/>
      <c r="K67" s="1033"/>
      <c r="L67" s="1033">
        <v>1</v>
      </c>
      <c r="M67" s="1033">
        <v>1</v>
      </c>
      <c r="N67" s="1033">
        <v>1</v>
      </c>
      <c r="O67" s="1033">
        <v>1</v>
      </c>
      <c r="P67" s="1034"/>
      <c r="Q67" s="1033">
        <v>1</v>
      </c>
      <c r="R67" s="1033">
        <v>1</v>
      </c>
      <c r="S67" s="1033"/>
      <c r="T67" s="1033"/>
      <c r="U67" s="1033"/>
      <c r="V67" s="1033">
        <v>1</v>
      </c>
      <c r="W67" s="1033">
        <v>1</v>
      </c>
      <c r="X67" s="1033"/>
      <c r="Y67" s="1033"/>
      <c r="Z67" s="1033"/>
      <c r="AA67" s="1033"/>
      <c r="AB67" s="1033"/>
      <c r="AC67" s="1043">
        <f t="shared" ref="AC67:AC72" si="137">COUNTA(E67:AB67)*21</f>
        <v>168</v>
      </c>
      <c r="AD67" s="1044">
        <f t="shared" si="9"/>
        <v>168</v>
      </c>
      <c r="AE67" s="1051"/>
      <c r="AF67" s="1045">
        <v>0.25</v>
      </c>
      <c r="AG67" s="1046">
        <f t="shared" ref="AG67:AG72" si="138">AF67*AD67</f>
        <v>42</v>
      </c>
      <c r="AH67" s="1047"/>
      <c r="AI67" s="1048">
        <f>$BF$58</f>
        <v>660</v>
      </c>
      <c r="AJ67" s="1049">
        <f t="shared" si="11"/>
        <v>0</v>
      </c>
      <c r="AK67" s="1050">
        <f t="shared" si="1"/>
        <v>27720</v>
      </c>
      <c r="AL67" s="1040">
        <f t="shared" si="114"/>
        <v>3.4279524714862677E-3</v>
      </c>
      <c r="AM67" s="1043">
        <f t="shared" ref="AM67:AM72" si="139">COUNTA(E67:P67)*21</f>
        <v>84</v>
      </c>
      <c r="AN67" s="1044">
        <f t="shared" ref="AN67:AN72" si="140">AM67</f>
        <v>84</v>
      </c>
      <c r="AO67" s="1045"/>
      <c r="AP67" s="1045">
        <f t="shared" ref="AP67:AP78" si="141">AF67</f>
        <v>0.25</v>
      </c>
      <c r="AQ67" s="1038">
        <f t="shared" ref="AQ67:AQ72" si="142">AM67*AO67*AG67</f>
        <v>0</v>
      </c>
      <c r="AR67" s="1039">
        <f t="shared" ref="AR67:AR72" si="143">AN67*AP67*AI67</f>
        <v>13860</v>
      </c>
      <c r="AT67" s="1043">
        <f t="shared" ref="AT67:AT72" si="144">COUNTA(Q67:AB67)*21</f>
        <v>84</v>
      </c>
      <c r="AU67" s="1044">
        <f t="shared" ref="AU67:AU72" si="145">AT67</f>
        <v>84</v>
      </c>
      <c r="AV67" s="1045"/>
      <c r="AW67" s="1045">
        <f t="shared" si="135"/>
        <v>0.25</v>
      </c>
      <c r="AX67" s="1038">
        <f t="shared" ref="AX67:AX72" si="146">AT67*AV67*AG67</f>
        <v>0</v>
      </c>
      <c r="AY67" s="1039">
        <f t="shared" ref="AY67:AY72" si="147">AU67*AW67*AI67</f>
        <v>13860</v>
      </c>
      <c r="AZ67" s="1003"/>
      <c r="BD67" s="1002" t="s">
        <v>668</v>
      </c>
      <c r="BF67" s="1002">
        <f>SUMPRODUCT(BE7:BE65,BF7:BF65)</f>
        <v>826.56</v>
      </c>
    </row>
    <row r="68" spans="1:63" ht="12.75" x14ac:dyDescent="0.2">
      <c r="A68" s="1000" t="s">
        <v>731</v>
      </c>
      <c r="B68" s="1001" t="s">
        <v>318</v>
      </c>
      <c r="C68" s="1041" t="s">
        <v>708</v>
      </c>
      <c r="E68" s="1042"/>
      <c r="F68" s="1033"/>
      <c r="G68" s="1033"/>
      <c r="H68" s="1033"/>
      <c r="I68" s="1033"/>
      <c r="J68" s="1033"/>
      <c r="K68" s="1033"/>
      <c r="L68" s="1033"/>
      <c r="M68" s="1033"/>
      <c r="N68" s="1033"/>
      <c r="O68" s="1033">
        <v>1</v>
      </c>
      <c r="P68" s="1034">
        <v>1</v>
      </c>
      <c r="Q68" s="1033">
        <v>1</v>
      </c>
      <c r="R68" s="1033">
        <v>1</v>
      </c>
      <c r="S68" s="1033">
        <v>1</v>
      </c>
      <c r="T68" s="1033">
        <v>1</v>
      </c>
      <c r="U68" s="1033">
        <v>1</v>
      </c>
      <c r="V68" s="1033">
        <v>1</v>
      </c>
      <c r="W68" s="1033">
        <v>1</v>
      </c>
      <c r="X68" s="1033">
        <v>1</v>
      </c>
      <c r="Y68" s="1033">
        <v>1</v>
      </c>
      <c r="Z68" s="1033"/>
      <c r="AA68" s="1033"/>
      <c r="AB68" s="1033"/>
      <c r="AC68" s="1043">
        <f t="shared" si="137"/>
        <v>231</v>
      </c>
      <c r="AD68" s="1044">
        <f t="shared" si="9"/>
        <v>231</v>
      </c>
      <c r="AE68" s="1051"/>
      <c r="AF68" s="1045">
        <v>1</v>
      </c>
      <c r="AG68" s="1046">
        <f t="shared" si="138"/>
        <v>231</v>
      </c>
      <c r="AH68" s="1047"/>
      <c r="AI68" s="1048">
        <f>$BF$59</f>
        <v>780</v>
      </c>
      <c r="AJ68" s="1049">
        <f t="shared" si="11"/>
        <v>0</v>
      </c>
      <c r="AK68" s="1050">
        <f t="shared" si="1"/>
        <v>180180</v>
      </c>
      <c r="AL68" s="1040">
        <f t="shared" si="114"/>
        <v>2.2281691064660741E-2</v>
      </c>
      <c r="AM68" s="1043">
        <f t="shared" si="139"/>
        <v>42</v>
      </c>
      <c r="AN68" s="1044">
        <f t="shared" si="140"/>
        <v>42</v>
      </c>
      <c r="AO68" s="1045"/>
      <c r="AP68" s="1045">
        <f t="shared" si="141"/>
        <v>1</v>
      </c>
      <c r="AQ68" s="1038">
        <f t="shared" si="142"/>
        <v>0</v>
      </c>
      <c r="AR68" s="1039">
        <f t="shared" si="143"/>
        <v>32760</v>
      </c>
      <c r="AT68" s="1043">
        <f t="shared" si="144"/>
        <v>189</v>
      </c>
      <c r="AU68" s="1044">
        <f t="shared" si="145"/>
        <v>189</v>
      </c>
      <c r="AV68" s="1045"/>
      <c r="AW68" s="1045">
        <f t="shared" si="135"/>
        <v>1</v>
      </c>
      <c r="AX68" s="1038">
        <f t="shared" si="146"/>
        <v>0</v>
      </c>
      <c r="AY68" s="1039">
        <f t="shared" si="147"/>
        <v>147420</v>
      </c>
      <c r="AZ68" s="1003"/>
      <c r="BD68" s="1002" t="s">
        <v>669</v>
      </c>
      <c r="BF68" s="1002">
        <f>ROUND(BF67,-1)</f>
        <v>830</v>
      </c>
    </row>
    <row r="69" spans="1:63" ht="12.75" x14ac:dyDescent="0.2">
      <c r="A69" s="1000" t="s">
        <v>731</v>
      </c>
      <c r="B69" s="1001" t="s">
        <v>319</v>
      </c>
      <c r="C69" s="1041" t="s">
        <v>709</v>
      </c>
      <c r="E69" s="1042"/>
      <c r="F69" s="1033"/>
      <c r="G69" s="1033"/>
      <c r="H69" s="1033"/>
      <c r="I69" s="1033"/>
      <c r="J69" s="1033"/>
      <c r="K69" s="1033"/>
      <c r="L69" s="1033"/>
      <c r="M69" s="1033"/>
      <c r="N69" s="1033"/>
      <c r="O69" s="1033"/>
      <c r="P69" s="1034"/>
      <c r="Q69" s="1033"/>
      <c r="R69" s="1033"/>
      <c r="S69" s="1033"/>
      <c r="T69" s="1033"/>
      <c r="U69" s="1033"/>
      <c r="V69" s="1033"/>
      <c r="W69" s="1033"/>
      <c r="X69" s="1033"/>
      <c r="Y69" s="1033">
        <v>1</v>
      </c>
      <c r="Z69" s="1033">
        <v>1</v>
      </c>
      <c r="AA69" s="1033"/>
      <c r="AB69" s="1033"/>
      <c r="AC69" s="1043">
        <f t="shared" si="137"/>
        <v>42</v>
      </c>
      <c r="AD69" s="1044">
        <f t="shared" si="9"/>
        <v>42</v>
      </c>
      <c r="AE69" s="1051"/>
      <c r="AF69" s="1045">
        <v>0.75</v>
      </c>
      <c r="AG69" s="1046">
        <f t="shared" si="138"/>
        <v>31.5</v>
      </c>
      <c r="AH69" s="1047"/>
      <c r="AI69" s="1048">
        <f>$BF$60</f>
        <v>684</v>
      </c>
      <c r="AJ69" s="1049">
        <f t="shared" si="11"/>
        <v>0</v>
      </c>
      <c r="AK69" s="1050">
        <f t="shared" si="1"/>
        <v>21546</v>
      </c>
      <c r="AL69" s="1040">
        <f t="shared" si="114"/>
        <v>2.6644539664734171E-3</v>
      </c>
      <c r="AM69" s="1043">
        <f t="shared" si="139"/>
        <v>0</v>
      </c>
      <c r="AN69" s="1044">
        <f t="shared" si="140"/>
        <v>0</v>
      </c>
      <c r="AO69" s="1045"/>
      <c r="AP69" s="1045">
        <f t="shared" si="141"/>
        <v>0.75</v>
      </c>
      <c r="AQ69" s="1038">
        <f t="shared" si="142"/>
        <v>0</v>
      </c>
      <c r="AR69" s="1039">
        <f t="shared" si="143"/>
        <v>0</v>
      </c>
      <c r="AT69" s="1043">
        <f t="shared" si="144"/>
        <v>42</v>
      </c>
      <c r="AU69" s="1044">
        <f t="shared" si="145"/>
        <v>42</v>
      </c>
      <c r="AV69" s="1045"/>
      <c r="AW69" s="1045">
        <f t="shared" si="135"/>
        <v>0.75</v>
      </c>
      <c r="AX69" s="1038">
        <f t="shared" si="146"/>
        <v>0</v>
      </c>
      <c r="AY69" s="1039">
        <f t="shared" si="147"/>
        <v>21546</v>
      </c>
      <c r="AZ69" s="1003"/>
    </row>
    <row r="70" spans="1:63" ht="12.75" x14ac:dyDescent="0.2">
      <c r="A70" s="1000" t="s">
        <v>731</v>
      </c>
      <c r="B70" s="1001" t="s">
        <v>320</v>
      </c>
      <c r="C70" s="1041" t="s">
        <v>710</v>
      </c>
      <c r="E70" s="1042"/>
      <c r="F70" s="1033"/>
      <c r="G70" s="1033"/>
      <c r="H70" s="1033"/>
      <c r="I70" s="1033"/>
      <c r="J70" s="1033"/>
      <c r="K70" s="1033"/>
      <c r="L70" s="1033"/>
      <c r="M70" s="1033"/>
      <c r="N70" s="1033"/>
      <c r="O70" s="1033"/>
      <c r="P70" s="1034"/>
      <c r="Q70" s="1033"/>
      <c r="R70" s="1033"/>
      <c r="S70" s="1033"/>
      <c r="T70" s="1033"/>
      <c r="U70" s="1033"/>
      <c r="V70" s="1033"/>
      <c r="W70" s="1033"/>
      <c r="X70" s="1033"/>
      <c r="Y70" s="1033"/>
      <c r="Z70" s="1033">
        <v>1</v>
      </c>
      <c r="AA70" s="1033"/>
      <c r="AB70" s="1033"/>
      <c r="AC70" s="1043">
        <f t="shared" si="137"/>
        <v>21</v>
      </c>
      <c r="AD70" s="1044">
        <f t="shared" si="9"/>
        <v>21</v>
      </c>
      <c r="AE70" s="1051"/>
      <c r="AF70" s="1045">
        <v>0.125</v>
      </c>
      <c r="AG70" s="1046">
        <f t="shared" si="138"/>
        <v>2.625</v>
      </c>
      <c r="AH70" s="1047"/>
      <c r="AI70" s="1048">
        <f>$BF$63</f>
        <v>684</v>
      </c>
      <c r="AJ70" s="1049">
        <f t="shared" si="11"/>
        <v>0</v>
      </c>
      <c r="AK70" s="1050">
        <f t="shared" si="1"/>
        <v>1795.5</v>
      </c>
      <c r="AL70" s="1040">
        <f t="shared" si="114"/>
        <v>2.2203783053945144E-4</v>
      </c>
      <c r="AM70" s="1043">
        <f t="shared" si="139"/>
        <v>0</v>
      </c>
      <c r="AN70" s="1044">
        <f t="shared" si="140"/>
        <v>0</v>
      </c>
      <c r="AO70" s="1045"/>
      <c r="AP70" s="1045">
        <f t="shared" si="141"/>
        <v>0.125</v>
      </c>
      <c r="AQ70" s="1038">
        <f t="shared" si="142"/>
        <v>0</v>
      </c>
      <c r="AR70" s="1039">
        <f t="shared" si="143"/>
        <v>0</v>
      </c>
      <c r="AT70" s="1043">
        <f t="shared" si="144"/>
        <v>21</v>
      </c>
      <c r="AU70" s="1044">
        <f t="shared" si="145"/>
        <v>21</v>
      </c>
      <c r="AV70" s="1045"/>
      <c r="AW70" s="1045">
        <f t="shared" si="135"/>
        <v>0.125</v>
      </c>
      <c r="AX70" s="1038">
        <f t="shared" si="146"/>
        <v>0</v>
      </c>
      <c r="AY70" s="1039">
        <f t="shared" si="147"/>
        <v>1795.5</v>
      </c>
      <c r="AZ70" s="1003"/>
      <c r="BB70" s="1002" t="s">
        <v>670</v>
      </c>
    </row>
    <row r="71" spans="1:63" ht="12.75" x14ac:dyDescent="0.2">
      <c r="A71" s="1000" t="s">
        <v>731</v>
      </c>
      <c r="B71" s="1001" t="s">
        <v>321</v>
      </c>
      <c r="C71" s="1041" t="s">
        <v>711</v>
      </c>
      <c r="E71" s="1042"/>
      <c r="F71" s="1033"/>
      <c r="G71" s="1033"/>
      <c r="H71" s="1033"/>
      <c r="I71" s="1033"/>
      <c r="J71" s="1033"/>
      <c r="K71" s="1033"/>
      <c r="L71" s="1033"/>
      <c r="M71" s="1033"/>
      <c r="N71" s="1033"/>
      <c r="O71" s="1033"/>
      <c r="P71" s="1034"/>
      <c r="Q71" s="1033"/>
      <c r="R71" s="1033"/>
      <c r="S71" s="1033"/>
      <c r="T71" s="1033"/>
      <c r="U71" s="1033"/>
      <c r="V71" s="1033"/>
      <c r="W71" s="1033"/>
      <c r="X71" s="1033"/>
      <c r="Y71" s="1033">
        <v>1</v>
      </c>
      <c r="Z71" s="1033">
        <v>1</v>
      </c>
      <c r="AA71" s="1033"/>
      <c r="AB71" s="1033"/>
      <c r="AC71" s="1043">
        <f t="shared" si="137"/>
        <v>42</v>
      </c>
      <c r="AD71" s="1044">
        <f t="shared" si="9"/>
        <v>42</v>
      </c>
      <c r="AE71" s="1051"/>
      <c r="AF71" s="1045">
        <v>0.5</v>
      </c>
      <c r="AG71" s="1046">
        <f t="shared" si="138"/>
        <v>21</v>
      </c>
      <c r="AH71" s="1047"/>
      <c r="AI71" s="1048">
        <f>$BF$59</f>
        <v>780</v>
      </c>
      <c r="AJ71" s="1049">
        <f t="shared" si="11"/>
        <v>0</v>
      </c>
      <c r="AK71" s="1050">
        <f t="shared" si="1"/>
        <v>16380</v>
      </c>
      <c r="AL71" s="1040">
        <f t="shared" si="114"/>
        <v>2.0256082786055218E-3</v>
      </c>
      <c r="AM71" s="1043">
        <f t="shared" si="139"/>
        <v>0</v>
      </c>
      <c r="AN71" s="1044">
        <f t="shared" si="140"/>
        <v>0</v>
      </c>
      <c r="AO71" s="1045"/>
      <c r="AP71" s="1045">
        <f t="shared" si="141"/>
        <v>0.5</v>
      </c>
      <c r="AQ71" s="1038">
        <f t="shared" si="142"/>
        <v>0</v>
      </c>
      <c r="AR71" s="1039">
        <f t="shared" si="143"/>
        <v>0</v>
      </c>
      <c r="AT71" s="1043">
        <f t="shared" si="144"/>
        <v>42</v>
      </c>
      <c r="AU71" s="1044">
        <f t="shared" si="145"/>
        <v>42</v>
      </c>
      <c r="AV71" s="1045"/>
      <c r="AW71" s="1045">
        <f t="shared" si="135"/>
        <v>0.5</v>
      </c>
      <c r="AX71" s="1038">
        <f t="shared" si="146"/>
        <v>0</v>
      </c>
      <c r="AY71" s="1039">
        <f t="shared" si="147"/>
        <v>16380</v>
      </c>
      <c r="AZ71" s="1003"/>
    </row>
    <row r="72" spans="1:63" ht="12.75" x14ac:dyDescent="0.2">
      <c r="A72" s="1000" t="s">
        <v>731</v>
      </c>
      <c r="B72" s="1001" t="s">
        <v>322</v>
      </c>
      <c r="C72" s="1041" t="s">
        <v>712</v>
      </c>
      <c r="E72" s="1042"/>
      <c r="F72" s="1033"/>
      <c r="G72" s="1033"/>
      <c r="H72" s="1033"/>
      <c r="I72" s="1033"/>
      <c r="J72" s="1033"/>
      <c r="K72" s="1033"/>
      <c r="L72" s="1033"/>
      <c r="M72" s="1033"/>
      <c r="N72" s="1033"/>
      <c r="O72" s="1033"/>
      <c r="P72" s="1034"/>
      <c r="Q72" s="1033"/>
      <c r="R72" s="1033"/>
      <c r="S72" s="1033"/>
      <c r="T72" s="1033"/>
      <c r="U72" s="1033"/>
      <c r="V72" s="1033"/>
      <c r="W72" s="1033"/>
      <c r="X72" s="1033"/>
      <c r="Y72" s="1033"/>
      <c r="Z72" s="1033">
        <v>1</v>
      </c>
      <c r="AA72" s="1033"/>
      <c r="AB72" s="1033"/>
      <c r="AC72" s="1043">
        <f t="shared" si="137"/>
        <v>21</v>
      </c>
      <c r="AD72" s="1044">
        <f t="shared" si="9"/>
        <v>21</v>
      </c>
      <c r="AE72" s="1051"/>
      <c r="AF72" s="1045">
        <v>0.125</v>
      </c>
      <c r="AG72" s="1046">
        <f t="shared" si="138"/>
        <v>2.625</v>
      </c>
      <c r="AH72" s="1047"/>
      <c r="AI72" s="1048">
        <f>$BF$61</f>
        <v>948</v>
      </c>
      <c r="AJ72" s="1049">
        <f t="shared" si="11"/>
        <v>0</v>
      </c>
      <c r="AK72" s="1050">
        <f t="shared" si="1"/>
        <v>2488.5</v>
      </c>
      <c r="AL72" s="1040">
        <f t="shared" si="114"/>
        <v>3.0773664232660816E-4</v>
      </c>
      <c r="AM72" s="1043">
        <f t="shared" si="139"/>
        <v>0</v>
      </c>
      <c r="AN72" s="1044">
        <f t="shared" si="140"/>
        <v>0</v>
      </c>
      <c r="AO72" s="1045"/>
      <c r="AP72" s="1045">
        <f t="shared" si="141"/>
        <v>0.125</v>
      </c>
      <c r="AQ72" s="1038">
        <f t="shared" si="142"/>
        <v>0</v>
      </c>
      <c r="AR72" s="1039">
        <f t="shared" si="143"/>
        <v>0</v>
      </c>
      <c r="AT72" s="1043">
        <f t="shared" si="144"/>
        <v>21</v>
      </c>
      <c r="AU72" s="1044">
        <f t="shared" si="145"/>
        <v>21</v>
      </c>
      <c r="AV72" s="1045"/>
      <c r="AW72" s="1045">
        <f t="shared" si="135"/>
        <v>0.125</v>
      </c>
      <c r="AX72" s="1038">
        <f t="shared" si="146"/>
        <v>0</v>
      </c>
      <c r="AY72" s="1039">
        <f t="shared" si="147"/>
        <v>2488.5</v>
      </c>
      <c r="AZ72" s="1003"/>
    </row>
    <row r="73" spans="1:63" x14ac:dyDescent="0.2">
      <c r="A73" s="1000" t="s">
        <v>732</v>
      </c>
      <c r="C73" s="1059" t="s">
        <v>675</v>
      </c>
      <c r="E73" s="1042"/>
      <c r="F73" s="1033"/>
      <c r="G73" s="1033"/>
      <c r="H73" s="1033"/>
      <c r="I73" s="1033"/>
      <c r="J73" s="1033"/>
      <c r="K73" s="1033"/>
      <c r="L73" s="1033"/>
      <c r="M73" s="1033"/>
      <c r="N73" s="1033"/>
      <c r="O73" s="1033"/>
      <c r="P73" s="1034"/>
      <c r="Q73" s="1033"/>
      <c r="R73" s="1033"/>
      <c r="S73" s="1033"/>
      <c r="T73" s="1033"/>
      <c r="U73" s="1033"/>
      <c r="V73" s="1033"/>
      <c r="W73" s="1033"/>
      <c r="X73" s="1033"/>
      <c r="Y73" s="1033"/>
      <c r="Z73" s="1033"/>
      <c r="AA73" s="1033"/>
      <c r="AB73" s="1033"/>
      <c r="AC73" s="1060"/>
      <c r="AD73" s="1061"/>
      <c r="AE73" s="1062"/>
      <c r="AF73" s="1063" t="s">
        <v>688</v>
      </c>
      <c r="AG73" s="1064">
        <f>SUM(AG67:AG72)</f>
        <v>330.75</v>
      </c>
      <c r="AH73" s="1065"/>
      <c r="AI73" s="1066"/>
      <c r="AJ73" s="1049"/>
      <c r="AK73" s="1050"/>
      <c r="AL73" s="1040">
        <f t="shared" si="114"/>
        <v>0</v>
      </c>
      <c r="AM73" s="1060"/>
      <c r="AN73" s="1061"/>
      <c r="AO73" s="1063"/>
      <c r="AP73" s="1063"/>
      <c r="AQ73" s="1038"/>
      <c r="AR73" s="1039"/>
      <c r="AT73" s="1060"/>
      <c r="AU73" s="1061"/>
      <c r="AV73" s="1063"/>
      <c r="AW73" s="1063"/>
      <c r="AX73" s="1038"/>
      <c r="AY73" s="1039"/>
    </row>
    <row r="74" spans="1:63" ht="13.5" thickBot="1" x14ac:dyDescent="0.25">
      <c r="A74" s="1000" t="s">
        <v>732</v>
      </c>
      <c r="B74" s="1001" t="s">
        <v>317</v>
      </c>
      <c r="C74" s="1041" t="s">
        <v>713</v>
      </c>
      <c r="E74" s="1042"/>
      <c r="F74" s="1033"/>
      <c r="G74" s="1033"/>
      <c r="H74" s="1033"/>
      <c r="I74" s="1033"/>
      <c r="J74" s="1033"/>
      <c r="K74" s="1033"/>
      <c r="L74" s="1033"/>
      <c r="M74" s="1033"/>
      <c r="N74" s="1033"/>
      <c r="O74" s="1033"/>
      <c r="P74" s="1034"/>
      <c r="Q74" s="1033"/>
      <c r="R74" s="1033"/>
      <c r="S74" s="1033"/>
      <c r="T74" s="1033"/>
      <c r="U74" s="1033"/>
      <c r="V74" s="1033"/>
      <c r="W74" s="1033"/>
      <c r="X74" s="1033"/>
      <c r="Y74" s="1033"/>
      <c r="Z74" s="1033">
        <v>1</v>
      </c>
      <c r="AA74" s="1033">
        <v>1</v>
      </c>
      <c r="AB74" s="1033"/>
      <c r="AC74" s="1043">
        <f>COUNTA(E74:AB74)*21</f>
        <v>42</v>
      </c>
      <c r="AD74" s="1044">
        <f t="shared" si="9"/>
        <v>42</v>
      </c>
      <c r="AE74" s="1051"/>
      <c r="AF74" s="1045">
        <v>0.125</v>
      </c>
      <c r="AG74" s="1046">
        <f t="shared" ref="AG74:AG78" si="148">AF74*AD74</f>
        <v>5.25</v>
      </c>
      <c r="AH74" s="1047"/>
      <c r="AI74" s="1048">
        <f>$BF$58</f>
        <v>660</v>
      </c>
      <c r="AJ74" s="1049">
        <f t="shared" si="11"/>
        <v>0</v>
      </c>
      <c r="AK74" s="1050">
        <f t="shared" si="1"/>
        <v>3465</v>
      </c>
      <c r="AL74" s="1040">
        <f t="shared" si="114"/>
        <v>4.2849405893578347E-4</v>
      </c>
      <c r="AM74" s="1043">
        <f>COUNTA(E74:P74)*21</f>
        <v>0</v>
      </c>
      <c r="AN74" s="1044">
        <f t="shared" ref="AN74:AN78" si="149">AM74</f>
        <v>0</v>
      </c>
      <c r="AO74" s="1045"/>
      <c r="AP74" s="1045">
        <f t="shared" si="141"/>
        <v>0.125</v>
      </c>
      <c r="AQ74" s="1038">
        <f>AM74*AO74*AG74</f>
        <v>0</v>
      </c>
      <c r="AR74" s="1039">
        <f t="shared" ref="AR74:AR78" si="150">AN74*AP74*AI74</f>
        <v>0</v>
      </c>
      <c r="AT74" s="1043">
        <f>COUNTA(Q74:AB74)*21</f>
        <v>42</v>
      </c>
      <c r="AU74" s="1044">
        <f t="shared" ref="AU74:AU78" si="151">AT74</f>
        <v>42</v>
      </c>
      <c r="AV74" s="1045"/>
      <c r="AW74" s="1045">
        <f t="shared" si="135"/>
        <v>0.125</v>
      </c>
      <c r="AX74" s="1038">
        <f>AT74*AV74*AG74</f>
        <v>0</v>
      </c>
      <c r="AY74" s="1039">
        <f t="shared" ref="AY74:AY78" si="152">AU74*AW74*AI74</f>
        <v>3465</v>
      </c>
      <c r="AZ74" s="1003"/>
    </row>
    <row r="75" spans="1:63" ht="72" x14ac:dyDescent="0.2">
      <c r="A75" s="1000" t="s">
        <v>732</v>
      </c>
      <c r="B75" s="1001" t="s">
        <v>318</v>
      </c>
      <c r="C75" s="1041" t="s">
        <v>714</v>
      </c>
      <c r="E75" s="1042"/>
      <c r="F75" s="1033"/>
      <c r="G75" s="1033"/>
      <c r="H75" s="1033"/>
      <c r="I75" s="1033"/>
      <c r="J75" s="1033"/>
      <c r="K75" s="1033"/>
      <c r="L75" s="1033"/>
      <c r="M75" s="1033"/>
      <c r="N75" s="1033"/>
      <c r="O75" s="1033"/>
      <c r="P75" s="1034"/>
      <c r="Q75" s="1033"/>
      <c r="R75" s="1033"/>
      <c r="S75" s="1033"/>
      <c r="T75" s="1033"/>
      <c r="U75" s="1033"/>
      <c r="V75" s="1033"/>
      <c r="W75" s="1033"/>
      <c r="X75" s="1033"/>
      <c r="Y75" s="1033"/>
      <c r="Z75" s="1033">
        <v>1</v>
      </c>
      <c r="AA75" s="1033">
        <v>1</v>
      </c>
      <c r="AB75" s="1033"/>
      <c r="AC75" s="1043">
        <f>COUNTA(E75:AB75)*21</f>
        <v>42</v>
      </c>
      <c r="AD75" s="1044">
        <f t="shared" si="9"/>
        <v>42</v>
      </c>
      <c r="AE75" s="1051"/>
      <c r="AF75" s="1045">
        <v>0.125</v>
      </c>
      <c r="AG75" s="1046">
        <f t="shared" si="148"/>
        <v>5.25</v>
      </c>
      <c r="AH75" s="1047"/>
      <c r="AI75" s="1048">
        <f>$BF$59</f>
        <v>780</v>
      </c>
      <c r="AJ75" s="1049">
        <f t="shared" si="11"/>
        <v>0</v>
      </c>
      <c r="AK75" s="1050">
        <f t="shared" si="1"/>
        <v>4095</v>
      </c>
      <c r="AL75" s="1040">
        <f t="shared" si="114"/>
        <v>5.0640206965138046E-4</v>
      </c>
      <c r="AM75" s="1043">
        <f>COUNTA(E75:P75)*21</f>
        <v>0</v>
      </c>
      <c r="AN75" s="1044">
        <f t="shared" si="149"/>
        <v>0</v>
      </c>
      <c r="AO75" s="1045"/>
      <c r="AP75" s="1045">
        <f t="shared" si="141"/>
        <v>0.125</v>
      </c>
      <c r="AQ75" s="1038">
        <f>AM75*AO75*AG75</f>
        <v>0</v>
      </c>
      <c r="AR75" s="1039">
        <f t="shared" si="150"/>
        <v>0</v>
      </c>
      <c r="AT75" s="1043">
        <f>COUNTA(Q75:AB75)*21</f>
        <v>42</v>
      </c>
      <c r="AU75" s="1044">
        <f t="shared" si="151"/>
        <v>42</v>
      </c>
      <c r="AV75" s="1045"/>
      <c r="AW75" s="1045">
        <f t="shared" si="135"/>
        <v>0.125</v>
      </c>
      <c r="AX75" s="1038">
        <f>AT75*AV75*AG75</f>
        <v>0</v>
      </c>
      <c r="AY75" s="1039">
        <f t="shared" si="152"/>
        <v>4095</v>
      </c>
      <c r="AZ75" s="1003"/>
      <c r="BB75" s="1016" t="s">
        <v>647</v>
      </c>
      <c r="BC75" s="1016"/>
      <c r="BD75" s="1016"/>
      <c r="BE75" s="1016" t="s">
        <v>684</v>
      </c>
      <c r="BF75" s="1016" t="str">
        <f>C4</f>
        <v>Modul Integrované povoľovanie</v>
      </c>
      <c r="BG75" s="1016" t="str">
        <f>C60</f>
        <v>2. Mobilný Agendový informačný systém KSED</v>
      </c>
      <c r="BH75" s="1016" t="str">
        <f>C66</f>
        <v>3. Verejný portál KSED</v>
      </c>
      <c r="BI75" s="1016" t="str">
        <f>C73</f>
        <v>4. Mobilná aplikácia Podnety</v>
      </c>
    </row>
    <row r="76" spans="1:63" ht="12.75" x14ac:dyDescent="0.2">
      <c r="A76" s="1000" t="s">
        <v>732</v>
      </c>
      <c r="B76" s="1001" t="s">
        <v>319</v>
      </c>
      <c r="C76" s="1041" t="s">
        <v>715</v>
      </c>
      <c r="E76" s="1042"/>
      <c r="F76" s="1033"/>
      <c r="G76" s="1033"/>
      <c r="H76" s="1033"/>
      <c r="I76" s="1033"/>
      <c r="J76" s="1033"/>
      <c r="K76" s="1033"/>
      <c r="L76" s="1033"/>
      <c r="M76" s="1033"/>
      <c r="N76" s="1033"/>
      <c r="O76" s="1033"/>
      <c r="P76" s="1034"/>
      <c r="Q76" s="1033"/>
      <c r="R76" s="1033"/>
      <c r="S76" s="1033"/>
      <c r="T76" s="1033"/>
      <c r="U76" s="1033"/>
      <c r="V76" s="1033"/>
      <c r="W76" s="1033"/>
      <c r="X76" s="1033"/>
      <c r="Y76" s="1033"/>
      <c r="Z76" s="1033">
        <v>1</v>
      </c>
      <c r="AA76" s="1033">
        <v>1</v>
      </c>
      <c r="AB76" s="1033"/>
      <c r="AC76" s="1043">
        <f>COUNTA(E76:AB76)*21</f>
        <v>42</v>
      </c>
      <c r="AD76" s="1044">
        <f t="shared" si="9"/>
        <v>42</v>
      </c>
      <c r="AE76" s="1051"/>
      <c r="AF76" s="1045">
        <v>0.125</v>
      </c>
      <c r="AG76" s="1046">
        <f t="shared" si="148"/>
        <v>5.25</v>
      </c>
      <c r="AH76" s="1047"/>
      <c r="AI76" s="1048">
        <f>$BF$60</f>
        <v>684</v>
      </c>
      <c r="AJ76" s="1049">
        <f t="shared" si="11"/>
        <v>0</v>
      </c>
      <c r="AK76" s="1050">
        <f t="shared" si="1"/>
        <v>3591</v>
      </c>
      <c r="AL76" s="1040">
        <f t="shared" si="114"/>
        <v>4.4407566107890288E-4</v>
      </c>
      <c r="AM76" s="1043">
        <f>COUNTA(E76:P76)*21</f>
        <v>0</v>
      </c>
      <c r="AN76" s="1044">
        <f t="shared" si="149"/>
        <v>0</v>
      </c>
      <c r="AO76" s="1045"/>
      <c r="AP76" s="1045">
        <f t="shared" si="141"/>
        <v>0.125</v>
      </c>
      <c r="AQ76" s="1038">
        <f>AM76*AO76*AG76</f>
        <v>0</v>
      </c>
      <c r="AR76" s="1039">
        <f t="shared" si="150"/>
        <v>0</v>
      </c>
      <c r="AT76" s="1043">
        <f>COUNTA(Q76:AB76)*21</f>
        <v>42</v>
      </c>
      <c r="AU76" s="1044">
        <f t="shared" si="151"/>
        <v>42</v>
      </c>
      <c r="AV76" s="1045"/>
      <c r="AW76" s="1045">
        <f t="shared" si="135"/>
        <v>0.125</v>
      </c>
      <c r="AX76" s="1038">
        <f>AT76*AV76*AG76</f>
        <v>0</v>
      </c>
      <c r="AY76" s="1039">
        <f t="shared" si="152"/>
        <v>3591</v>
      </c>
      <c r="AZ76" s="1003"/>
      <c r="BB76" s="1002" t="s">
        <v>639</v>
      </c>
      <c r="BE76" s="1069">
        <f>BF76/$BF$88</f>
        <v>0.11486098014563359</v>
      </c>
      <c r="BF76" s="1070">
        <v>813444.02562912542</v>
      </c>
      <c r="BG76" s="1070"/>
      <c r="BH76" s="1070"/>
      <c r="BI76" s="1070"/>
    </row>
    <row r="77" spans="1:63" ht="12.75" x14ac:dyDescent="0.2">
      <c r="A77" s="1000" t="s">
        <v>732</v>
      </c>
      <c r="B77" s="1001" t="s">
        <v>320</v>
      </c>
      <c r="C77" s="1041" t="s">
        <v>716</v>
      </c>
      <c r="E77" s="1042"/>
      <c r="F77" s="1033"/>
      <c r="G77" s="1033"/>
      <c r="H77" s="1033"/>
      <c r="I77" s="1033"/>
      <c r="J77" s="1033"/>
      <c r="K77" s="1033"/>
      <c r="L77" s="1033"/>
      <c r="M77" s="1033"/>
      <c r="N77" s="1033"/>
      <c r="O77" s="1033"/>
      <c r="P77" s="1034"/>
      <c r="Q77" s="1033"/>
      <c r="R77" s="1033"/>
      <c r="S77" s="1033"/>
      <c r="T77" s="1033"/>
      <c r="U77" s="1033"/>
      <c r="V77" s="1033"/>
      <c r="W77" s="1033"/>
      <c r="X77" s="1033"/>
      <c r="Y77" s="1033"/>
      <c r="Z77" s="1033"/>
      <c r="AA77" s="1033">
        <v>1</v>
      </c>
      <c r="AB77" s="1033"/>
      <c r="AC77" s="1043">
        <f>COUNTA(E77:AB77)*21</f>
        <v>21</v>
      </c>
      <c r="AD77" s="1044">
        <f t="shared" si="9"/>
        <v>21</v>
      </c>
      <c r="AE77" s="1051"/>
      <c r="AF77" s="1045">
        <v>0.125</v>
      </c>
      <c r="AG77" s="1046">
        <f t="shared" si="148"/>
        <v>2.625</v>
      </c>
      <c r="AH77" s="1047"/>
      <c r="AI77" s="1048">
        <f>$BF$63</f>
        <v>684</v>
      </c>
      <c r="AJ77" s="1049">
        <f t="shared" si="11"/>
        <v>0</v>
      </c>
      <c r="AK77" s="1050">
        <f t="shared" si="1"/>
        <v>1795.5</v>
      </c>
      <c r="AL77" s="1040">
        <f t="shared" si="114"/>
        <v>2.2203783053945144E-4</v>
      </c>
      <c r="AM77" s="1043">
        <f>COUNTA(E77:P77)*21</f>
        <v>0</v>
      </c>
      <c r="AN77" s="1044">
        <f t="shared" si="149"/>
        <v>0</v>
      </c>
      <c r="AO77" s="1045"/>
      <c r="AP77" s="1045">
        <f t="shared" si="141"/>
        <v>0.125</v>
      </c>
      <c r="AQ77" s="1038">
        <f>AM77*AO77*AG77</f>
        <v>0</v>
      </c>
      <c r="AR77" s="1039">
        <f t="shared" si="150"/>
        <v>0</v>
      </c>
      <c r="AT77" s="1043">
        <f>COUNTA(Q77:AB77)*21</f>
        <v>21</v>
      </c>
      <c r="AU77" s="1044">
        <f t="shared" si="151"/>
        <v>21</v>
      </c>
      <c r="AV77" s="1045"/>
      <c r="AW77" s="1045">
        <f t="shared" si="135"/>
        <v>0.125</v>
      </c>
      <c r="AX77" s="1038">
        <f>AT77*AV77*AG77</f>
        <v>0</v>
      </c>
      <c r="AY77" s="1039">
        <f t="shared" si="152"/>
        <v>1795.5</v>
      </c>
      <c r="AZ77" s="1003"/>
      <c r="BB77" s="1002" t="s">
        <v>640</v>
      </c>
      <c r="BE77" s="1069">
        <f t="shared" ref="BE77:BE84" si="153">BF77/$BF$88</f>
        <v>0.46520050814605263</v>
      </c>
      <c r="BF77" s="1070">
        <v>3294544.1836839933</v>
      </c>
      <c r="BG77" s="1070">
        <v>312375</v>
      </c>
      <c r="BH77" s="1070"/>
      <c r="BI77" s="1070"/>
      <c r="BJ77" s="1003"/>
      <c r="BK77" s="1003"/>
    </row>
    <row r="78" spans="1:63" ht="12.75" x14ac:dyDescent="0.2">
      <c r="A78" s="1000" t="s">
        <v>732</v>
      </c>
      <c r="B78" s="1001" t="s">
        <v>322</v>
      </c>
      <c r="C78" s="1041" t="s">
        <v>717</v>
      </c>
      <c r="E78" s="1042"/>
      <c r="F78" s="1033"/>
      <c r="G78" s="1033"/>
      <c r="H78" s="1033"/>
      <c r="I78" s="1033"/>
      <c r="J78" s="1033"/>
      <c r="K78" s="1033"/>
      <c r="L78" s="1033"/>
      <c r="M78" s="1033"/>
      <c r="N78" s="1033"/>
      <c r="O78" s="1033"/>
      <c r="P78" s="1034"/>
      <c r="Q78" s="1033"/>
      <c r="R78" s="1033"/>
      <c r="S78" s="1033"/>
      <c r="T78" s="1033"/>
      <c r="U78" s="1033"/>
      <c r="V78" s="1033"/>
      <c r="W78" s="1033"/>
      <c r="X78" s="1033"/>
      <c r="Y78" s="1033"/>
      <c r="Z78" s="1033"/>
      <c r="AA78" s="1033">
        <v>1</v>
      </c>
      <c r="AB78" s="1033"/>
      <c r="AC78" s="1043">
        <f>COUNTA(E78:AB78)*21</f>
        <v>21</v>
      </c>
      <c r="AD78" s="1044">
        <f t="shared" si="9"/>
        <v>21</v>
      </c>
      <c r="AE78" s="1051"/>
      <c r="AF78" s="1045">
        <v>0.125</v>
      </c>
      <c r="AG78" s="1046">
        <f t="shared" si="148"/>
        <v>2.625</v>
      </c>
      <c r="AH78" s="1047"/>
      <c r="AI78" s="1048">
        <f>$BF$61</f>
        <v>948</v>
      </c>
      <c r="AJ78" s="1049">
        <f t="shared" si="11"/>
        <v>0</v>
      </c>
      <c r="AK78" s="1050">
        <f t="shared" si="1"/>
        <v>2488.5</v>
      </c>
      <c r="AL78" s="1040">
        <f t="shared" si="114"/>
        <v>3.0773664232660816E-4</v>
      </c>
      <c r="AM78" s="1043">
        <f>COUNTA(E78:P78)*21</f>
        <v>0</v>
      </c>
      <c r="AN78" s="1044">
        <f t="shared" si="149"/>
        <v>0</v>
      </c>
      <c r="AO78" s="1045"/>
      <c r="AP78" s="1045">
        <f t="shared" si="141"/>
        <v>0.125</v>
      </c>
      <c r="AQ78" s="1038">
        <f>AM78*AO78*AG78</f>
        <v>0</v>
      </c>
      <c r="AR78" s="1039">
        <f t="shared" si="150"/>
        <v>0</v>
      </c>
      <c r="AT78" s="1043">
        <f>COUNTA(Q78:AB78)*21</f>
        <v>21</v>
      </c>
      <c r="AU78" s="1044">
        <f t="shared" si="151"/>
        <v>21</v>
      </c>
      <c r="AV78" s="1045"/>
      <c r="AW78" s="1045">
        <f t="shared" si="135"/>
        <v>0.125</v>
      </c>
      <c r="AX78" s="1038">
        <f>AT78*AV78*AG78</f>
        <v>0</v>
      </c>
      <c r="AY78" s="1039">
        <f t="shared" si="152"/>
        <v>2488.5</v>
      </c>
      <c r="AZ78" s="1003"/>
      <c r="BB78" s="1002" t="s">
        <v>641</v>
      </c>
      <c r="BE78" s="1069">
        <f t="shared" si="153"/>
        <v>0.10496108142560288</v>
      </c>
      <c r="BF78" s="1070">
        <v>743333.06664260186</v>
      </c>
      <c r="BG78" s="1070"/>
      <c r="BH78" s="1070"/>
      <c r="BI78" s="1070"/>
    </row>
    <row r="79" spans="1:63" x14ac:dyDescent="0.2">
      <c r="A79" s="1000" t="s">
        <v>734</v>
      </c>
      <c r="C79" s="1059" t="s">
        <v>725</v>
      </c>
      <c r="E79" s="1042"/>
      <c r="F79" s="1033"/>
      <c r="G79" s="1033"/>
      <c r="H79" s="1033"/>
      <c r="I79" s="1033"/>
      <c r="J79" s="1033"/>
      <c r="K79" s="1033"/>
      <c r="L79" s="1033"/>
      <c r="M79" s="1033"/>
      <c r="N79" s="1033"/>
      <c r="O79" s="1033"/>
      <c r="P79" s="1034"/>
      <c r="Q79" s="1033"/>
      <c r="R79" s="1033"/>
      <c r="S79" s="1033"/>
      <c r="T79" s="1033"/>
      <c r="U79" s="1033"/>
      <c r="V79" s="1033"/>
      <c r="W79" s="1033"/>
      <c r="X79" s="1033"/>
      <c r="Y79" s="1033"/>
      <c r="Z79" s="1033"/>
      <c r="AA79" s="1033"/>
      <c r="AB79" s="1033"/>
      <c r="AC79" s="1060"/>
      <c r="AD79" s="1061"/>
      <c r="AE79" s="1062"/>
      <c r="AF79" s="1063" t="s">
        <v>688</v>
      </c>
      <c r="AG79" s="1064">
        <f>SUM(AG74:AG78)</f>
        <v>21</v>
      </c>
      <c r="AH79" s="1065"/>
      <c r="AI79" s="1066"/>
      <c r="AJ79" s="1049"/>
      <c r="AK79" s="1050"/>
      <c r="AL79" s="1040">
        <f t="shared" si="114"/>
        <v>0</v>
      </c>
      <c r="AM79" s="1060"/>
      <c r="AN79" s="1061"/>
      <c r="AO79" s="1063"/>
      <c r="AP79" s="1063"/>
      <c r="AQ79" s="1038"/>
      <c r="AR79" s="1039"/>
      <c r="AT79" s="1060"/>
      <c r="AU79" s="1061"/>
      <c r="AV79" s="1063"/>
      <c r="AW79" s="1063"/>
      <c r="AX79" s="1038"/>
      <c r="AY79" s="1039"/>
      <c r="BB79" s="1002" t="s">
        <v>642</v>
      </c>
      <c r="BE79" s="1069">
        <f t="shared" si="153"/>
        <v>4.7063099167059558E-2</v>
      </c>
      <c r="BF79" s="1070">
        <v>333300.28001237626</v>
      </c>
      <c r="BG79" s="1070"/>
      <c r="BH79" s="1070"/>
      <c r="BI79" s="1070"/>
    </row>
    <row r="80" spans="1:63" ht="12.75" x14ac:dyDescent="0.2">
      <c r="A80" s="1000" t="s">
        <v>734</v>
      </c>
      <c r="B80" s="1001" t="s">
        <v>317</v>
      </c>
      <c r="C80" s="1041" t="s">
        <v>718</v>
      </c>
      <c r="E80" s="1042"/>
      <c r="F80" s="1033"/>
      <c r="G80" s="1033"/>
      <c r="H80" s="1033"/>
      <c r="I80" s="1033"/>
      <c r="J80" s="1033"/>
      <c r="K80" s="1033"/>
      <c r="L80" s="1033">
        <v>1</v>
      </c>
      <c r="M80" s="1033">
        <v>1</v>
      </c>
      <c r="N80" s="1033">
        <v>1</v>
      </c>
      <c r="O80" s="1033">
        <v>1</v>
      </c>
      <c r="P80" s="1034">
        <v>1</v>
      </c>
      <c r="Q80" s="1033">
        <v>1</v>
      </c>
      <c r="R80" s="1033">
        <v>1</v>
      </c>
      <c r="S80" s="1033">
        <v>1</v>
      </c>
      <c r="T80" s="1033">
        <v>1</v>
      </c>
      <c r="U80" s="1033">
        <v>1</v>
      </c>
      <c r="V80" s="1033">
        <v>1</v>
      </c>
      <c r="W80" s="1033">
        <v>1</v>
      </c>
      <c r="X80" s="1033"/>
      <c r="Y80" s="1033"/>
      <c r="Z80" s="1033"/>
      <c r="AA80" s="1033"/>
      <c r="AB80" s="1033"/>
      <c r="AC80" s="1043">
        <f>COUNTA(E80:AB80)*21</f>
        <v>252</v>
      </c>
      <c r="AD80" s="1044">
        <f t="shared" si="9"/>
        <v>252</v>
      </c>
      <c r="AE80" s="1051"/>
      <c r="AF80" s="1045">
        <v>0.125</v>
      </c>
      <c r="AG80" s="1046">
        <f t="shared" ref="AG80:AG89" si="154">AF80*AD80</f>
        <v>31.5</v>
      </c>
      <c r="AH80" s="1047"/>
      <c r="AI80" s="1048">
        <f>$BF$58</f>
        <v>660</v>
      </c>
      <c r="AJ80" s="1049">
        <f t="shared" si="11"/>
        <v>0</v>
      </c>
      <c r="AK80" s="1050">
        <f t="shared" si="1"/>
        <v>20790</v>
      </c>
      <c r="AL80" s="1040">
        <f t="shared" si="114"/>
        <v>2.5709643536147011E-3</v>
      </c>
      <c r="AM80" s="1043">
        <f>COUNTA(E80:P80)*21</f>
        <v>105</v>
      </c>
      <c r="AN80" s="1044">
        <f t="shared" ref="AN80:AN84" si="155">AM80</f>
        <v>105</v>
      </c>
      <c r="AO80" s="1045"/>
      <c r="AP80" s="1045">
        <f t="shared" ref="AP80:AP86" si="156">AF80</f>
        <v>0.125</v>
      </c>
      <c r="AQ80" s="1038">
        <f>AM80*AO80*AG80</f>
        <v>0</v>
      </c>
      <c r="AR80" s="1039">
        <f t="shared" ref="AR80:AR84" si="157">AN80*AP80*AI80</f>
        <v>8662.5</v>
      </c>
      <c r="AT80" s="1043">
        <f>COUNTA(Q80:AB80)*21</f>
        <v>147</v>
      </c>
      <c r="AU80" s="1044">
        <f t="shared" ref="AU80:AU84" si="158">AT80</f>
        <v>147</v>
      </c>
      <c r="AV80" s="1045"/>
      <c r="AW80" s="1045">
        <f t="shared" si="135"/>
        <v>0.125</v>
      </c>
      <c r="AX80" s="1038">
        <f>AT80*AV80*AG80</f>
        <v>0</v>
      </c>
      <c r="AY80" s="1039">
        <f t="shared" ref="AY80:AY84" si="159">AU80*AW80*AI80</f>
        <v>12127.5</v>
      </c>
      <c r="AZ80" s="1003"/>
      <c r="BB80" s="1002" t="s">
        <v>643</v>
      </c>
      <c r="BE80" s="1069">
        <f t="shared" si="153"/>
        <v>7.1072017916077312E-2</v>
      </c>
      <c r="BF80" s="1070">
        <v>503331.14248143567</v>
      </c>
      <c r="BG80" s="1070"/>
      <c r="BH80" s="1070"/>
      <c r="BI80" s="1070"/>
    </row>
    <row r="81" spans="1:61" ht="12.75" x14ac:dyDescent="0.2">
      <c r="A81" s="1000" t="s">
        <v>734</v>
      </c>
      <c r="B81" s="1001" t="s">
        <v>318</v>
      </c>
      <c r="C81" s="1041" t="s">
        <v>719</v>
      </c>
      <c r="E81" s="1042"/>
      <c r="F81" s="1033"/>
      <c r="G81" s="1033"/>
      <c r="H81" s="1033"/>
      <c r="I81" s="1033"/>
      <c r="J81" s="1033"/>
      <c r="K81" s="1033"/>
      <c r="L81" s="1033"/>
      <c r="M81" s="1033">
        <v>1</v>
      </c>
      <c r="N81" s="1033">
        <v>1</v>
      </c>
      <c r="O81" s="1033">
        <v>1</v>
      </c>
      <c r="P81" s="1034">
        <v>1</v>
      </c>
      <c r="Q81" s="1033">
        <v>1</v>
      </c>
      <c r="R81" s="1033">
        <v>1</v>
      </c>
      <c r="S81" s="1033">
        <v>1</v>
      </c>
      <c r="T81" s="1033">
        <v>1</v>
      </c>
      <c r="U81" s="1033">
        <v>1</v>
      </c>
      <c r="V81" s="1033">
        <v>1</v>
      </c>
      <c r="W81" s="1033">
        <v>1</v>
      </c>
      <c r="X81" s="1033">
        <v>1</v>
      </c>
      <c r="Y81" s="1033">
        <v>1</v>
      </c>
      <c r="Z81" s="1033">
        <v>1</v>
      </c>
      <c r="AA81" s="1033">
        <v>1</v>
      </c>
      <c r="AB81" s="1033">
        <v>1</v>
      </c>
      <c r="AC81" s="1043">
        <f>COUNTA(E81:AB81)*21</f>
        <v>336</v>
      </c>
      <c r="AD81" s="1044">
        <f t="shared" si="9"/>
        <v>336</v>
      </c>
      <c r="AE81" s="1051"/>
      <c r="AF81" s="1045">
        <v>0.5</v>
      </c>
      <c r="AG81" s="1046">
        <f t="shared" si="154"/>
        <v>168</v>
      </c>
      <c r="AH81" s="1047"/>
      <c r="AI81" s="1048">
        <f>$BF$59</f>
        <v>780</v>
      </c>
      <c r="AJ81" s="1049">
        <f t="shared" si="11"/>
        <v>0</v>
      </c>
      <c r="AK81" s="1050">
        <f t="shared" si="1"/>
        <v>131040</v>
      </c>
      <c r="AL81" s="1040">
        <f t="shared" si="114"/>
        <v>1.6204866228844175E-2</v>
      </c>
      <c r="AM81" s="1043">
        <f>COUNTA(E81:P81)*21</f>
        <v>84</v>
      </c>
      <c r="AN81" s="1044">
        <f t="shared" si="155"/>
        <v>84</v>
      </c>
      <c r="AO81" s="1045"/>
      <c r="AP81" s="1045">
        <f t="shared" si="156"/>
        <v>0.5</v>
      </c>
      <c r="AQ81" s="1038">
        <f>AM81*AO81*AG81</f>
        <v>0</v>
      </c>
      <c r="AR81" s="1039">
        <f t="shared" si="157"/>
        <v>32760</v>
      </c>
      <c r="AT81" s="1043">
        <f>COUNTA(Q81:AB81)*21</f>
        <v>252</v>
      </c>
      <c r="AU81" s="1044">
        <f t="shared" si="158"/>
        <v>252</v>
      </c>
      <c r="AV81" s="1045"/>
      <c r="AW81" s="1045">
        <f t="shared" si="135"/>
        <v>0.5</v>
      </c>
      <c r="AX81" s="1038">
        <f>AT81*AV81*AG81</f>
        <v>0</v>
      </c>
      <c r="AY81" s="1039">
        <f t="shared" si="159"/>
        <v>98280</v>
      </c>
      <c r="AZ81" s="1003"/>
      <c r="BB81" s="1002" t="s">
        <v>644</v>
      </c>
      <c r="BE81" s="1069">
        <f t="shared" si="153"/>
        <v>0.10760745717428884</v>
      </c>
      <c r="BF81" s="1070">
        <v>762074.66661509895</v>
      </c>
      <c r="BG81" s="1070"/>
      <c r="BH81" s="1070"/>
      <c r="BI81" s="1070"/>
    </row>
    <row r="82" spans="1:61" ht="12.75" x14ac:dyDescent="0.2">
      <c r="A82" s="1000" t="s">
        <v>734</v>
      </c>
      <c r="B82" s="1001" t="s">
        <v>319</v>
      </c>
      <c r="C82" s="1041" t="s">
        <v>720</v>
      </c>
      <c r="E82" s="1042"/>
      <c r="F82" s="1033"/>
      <c r="G82" s="1033"/>
      <c r="H82" s="1033"/>
      <c r="I82" s="1033"/>
      <c r="J82" s="1033"/>
      <c r="K82" s="1033"/>
      <c r="L82" s="1033"/>
      <c r="M82" s="1033"/>
      <c r="N82" s="1033"/>
      <c r="O82" s="1033">
        <v>1</v>
      </c>
      <c r="P82" s="1034">
        <v>1</v>
      </c>
      <c r="Q82" s="1033"/>
      <c r="R82" s="1033"/>
      <c r="S82" s="1033"/>
      <c r="T82" s="1033">
        <v>1</v>
      </c>
      <c r="U82" s="1033">
        <v>1</v>
      </c>
      <c r="V82" s="1033"/>
      <c r="W82" s="1033"/>
      <c r="X82" s="1033"/>
      <c r="Y82" s="1033">
        <v>1</v>
      </c>
      <c r="Z82" s="1033"/>
      <c r="AA82" s="1033"/>
      <c r="AB82" s="1033">
        <v>1</v>
      </c>
      <c r="AC82" s="1043">
        <f>COUNTA(E82:AB82)*21</f>
        <v>126</v>
      </c>
      <c r="AD82" s="1044">
        <f t="shared" si="9"/>
        <v>126</v>
      </c>
      <c r="AE82" s="1051"/>
      <c r="AF82" s="1045">
        <v>0.5</v>
      </c>
      <c r="AG82" s="1046">
        <f t="shared" si="154"/>
        <v>63</v>
      </c>
      <c r="AH82" s="1047"/>
      <c r="AI82" s="1048">
        <f>$BF$60</f>
        <v>684</v>
      </c>
      <c r="AJ82" s="1049">
        <f t="shared" si="11"/>
        <v>0</v>
      </c>
      <c r="AK82" s="1050">
        <f t="shared" si="1"/>
        <v>43092</v>
      </c>
      <c r="AL82" s="1040">
        <f t="shared" si="114"/>
        <v>5.3289079329468343E-3</v>
      </c>
      <c r="AM82" s="1043">
        <f>COUNTA(E82:P82)*21</f>
        <v>42</v>
      </c>
      <c r="AN82" s="1044">
        <f t="shared" si="155"/>
        <v>42</v>
      </c>
      <c r="AO82" s="1045"/>
      <c r="AP82" s="1045">
        <f t="shared" si="156"/>
        <v>0.5</v>
      </c>
      <c r="AQ82" s="1038">
        <f>AM82*AO82*AG82</f>
        <v>0</v>
      </c>
      <c r="AR82" s="1039">
        <f t="shared" si="157"/>
        <v>14364</v>
      </c>
      <c r="AT82" s="1043">
        <f>COUNTA(Q82:AB82)*21</f>
        <v>84</v>
      </c>
      <c r="AU82" s="1044">
        <f t="shared" si="158"/>
        <v>84</v>
      </c>
      <c r="AV82" s="1045"/>
      <c r="AW82" s="1045">
        <f t="shared" si="135"/>
        <v>0.5</v>
      </c>
      <c r="AX82" s="1038">
        <f>AT82*AV82*AG82</f>
        <v>0</v>
      </c>
      <c r="AY82" s="1039">
        <f t="shared" si="159"/>
        <v>28728</v>
      </c>
      <c r="AZ82" s="1003"/>
      <c r="BB82" s="1002" t="s">
        <v>645</v>
      </c>
      <c r="BE82" s="1069">
        <f t="shared" si="153"/>
        <v>3.9988125796706644E-2</v>
      </c>
      <c r="BF82" s="1070">
        <v>283195.40704070404</v>
      </c>
      <c r="BG82" s="1070"/>
      <c r="BH82" s="1070"/>
      <c r="BI82" s="1070">
        <f>SUM(AK74:AK78)</f>
        <v>15435</v>
      </c>
    </row>
    <row r="83" spans="1:61" ht="12.75" x14ac:dyDescent="0.2">
      <c r="A83" s="1000" t="s">
        <v>734</v>
      </c>
      <c r="B83" s="1001" t="s">
        <v>320</v>
      </c>
      <c r="C83" s="1041" t="s">
        <v>721</v>
      </c>
      <c r="E83" s="1042"/>
      <c r="F83" s="1033"/>
      <c r="G83" s="1033"/>
      <c r="H83" s="1033"/>
      <c r="I83" s="1033"/>
      <c r="J83" s="1033"/>
      <c r="K83" s="1033"/>
      <c r="L83" s="1033"/>
      <c r="M83" s="1033"/>
      <c r="N83" s="1033"/>
      <c r="O83" s="1033"/>
      <c r="P83" s="1034">
        <v>1</v>
      </c>
      <c r="Q83" s="1033"/>
      <c r="R83" s="1033"/>
      <c r="S83" s="1033"/>
      <c r="T83" s="1033"/>
      <c r="U83" s="1033">
        <v>1</v>
      </c>
      <c r="V83" s="1033"/>
      <c r="W83" s="1033"/>
      <c r="X83" s="1033"/>
      <c r="Y83" s="1033">
        <v>1</v>
      </c>
      <c r="Z83" s="1033"/>
      <c r="AA83" s="1033"/>
      <c r="AB83" s="1033">
        <v>1</v>
      </c>
      <c r="AC83" s="1043">
        <f>COUNTA(E83:AB83)*21</f>
        <v>84</v>
      </c>
      <c r="AD83" s="1044">
        <f t="shared" si="9"/>
        <v>84</v>
      </c>
      <c r="AE83" s="1051"/>
      <c r="AF83" s="1045">
        <v>0.125</v>
      </c>
      <c r="AG83" s="1046">
        <f t="shared" si="154"/>
        <v>10.5</v>
      </c>
      <c r="AH83" s="1047"/>
      <c r="AI83" s="1048">
        <f>$BF$63</f>
        <v>684</v>
      </c>
      <c r="AJ83" s="1049">
        <f t="shared" si="11"/>
        <v>0</v>
      </c>
      <c r="AK83" s="1050">
        <f t="shared" si="1"/>
        <v>7182</v>
      </c>
      <c r="AL83" s="1040">
        <f t="shared" si="114"/>
        <v>8.8815132215780575E-4</v>
      </c>
      <c r="AM83" s="1043">
        <f>COUNTA(E83:P83)*21</f>
        <v>21</v>
      </c>
      <c r="AN83" s="1044">
        <f t="shared" si="155"/>
        <v>21</v>
      </c>
      <c r="AO83" s="1045"/>
      <c r="AP83" s="1045">
        <f t="shared" si="156"/>
        <v>0.125</v>
      </c>
      <c r="AQ83" s="1038">
        <f>AM83*AO83*AG83</f>
        <v>0</v>
      </c>
      <c r="AR83" s="1039">
        <f t="shared" si="157"/>
        <v>1795.5</v>
      </c>
      <c r="AT83" s="1043">
        <f>COUNTA(Q83:AB83)*21</f>
        <v>63</v>
      </c>
      <c r="AU83" s="1044">
        <f t="shared" si="158"/>
        <v>63</v>
      </c>
      <c r="AV83" s="1045"/>
      <c r="AW83" s="1045">
        <f t="shared" si="135"/>
        <v>0.125</v>
      </c>
      <c r="AX83" s="1038">
        <f>AT83*AV83*AG83</f>
        <v>0</v>
      </c>
      <c r="AY83" s="1039">
        <f t="shared" si="159"/>
        <v>5386.5</v>
      </c>
      <c r="AZ83" s="1003"/>
      <c r="BB83" s="1002" t="s">
        <v>646</v>
      </c>
      <c r="BE83" s="1069">
        <f t="shared" si="153"/>
        <v>4.9246730228578416E-2</v>
      </c>
      <c r="BF83" s="1070">
        <v>348764.72789466451</v>
      </c>
      <c r="BG83" s="1070"/>
      <c r="BH83" s="1070"/>
      <c r="BI83" s="1070"/>
    </row>
    <row r="84" spans="1:61" ht="12.75" x14ac:dyDescent="0.2">
      <c r="A84" s="1000" t="s">
        <v>734</v>
      </c>
      <c r="B84" s="1001" t="s">
        <v>322</v>
      </c>
      <c r="C84" s="1041" t="s">
        <v>722</v>
      </c>
      <c r="E84" s="1042"/>
      <c r="F84" s="1033"/>
      <c r="G84" s="1033"/>
      <c r="H84" s="1033"/>
      <c r="I84" s="1033"/>
      <c r="J84" s="1033"/>
      <c r="K84" s="1033"/>
      <c r="L84" s="1033"/>
      <c r="M84" s="1033"/>
      <c r="N84" s="1033"/>
      <c r="O84" s="1033"/>
      <c r="P84" s="1034">
        <v>1</v>
      </c>
      <c r="Q84" s="1033"/>
      <c r="R84" s="1033"/>
      <c r="S84" s="1033"/>
      <c r="T84" s="1033"/>
      <c r="U84" s="1033">
        <v>1</v>
      </c>
      <c r="V84" s="1033"/>
      <c r="W84" s="1033"/>
      <c r="X84" s="1033"/>
      <c r="Y84" s="1033">
        <v>1</v>
      </c>
      <c r="Z84" s="1033"/>
      <c r="AA84" s="1033"/>
      <c r="AB84" s="1033">
        <v>1</v>
      </c>
      <c r="AC84" s="1043">
        <f>COUNTA(E84:AB84)*21</f>
        <v>84</v>
      </c>
      <c r="AD84" s="1044">
        <f t="shared" si="9"/>
        <v>84</v>
      </c>
      <c r="AE84" s="1051"/>
      <c r="AF84" s="1045">
        <v>0.125</v>
      </c>
      <c r="AG84" s="1046">
        <f t="shared" si="154"/>
        <v>10.5</v>
      </c>
      <c r="AH84" s="1047"/>
      <c r="AI84" s="1048">
        <f>$BF$61</f>
        <v>948</v>
      </c>
      <c r="AJ84" s="1049">
        <f t="shared" si="11"/>
        <v>0</v>
      </c>
      <c r="AK84" s="1050">
        <f t="shared" si="1"/>
        <v>9954</v>
      </c>
      <c r="AL84" s="1040">
        <f t="shared" si="114"/>
        <v>1.2309465693064326E-3</v>
      </c>
      <c r="AM84" s="1043">
        <f>COUNTA(E84:P84)*21</f>
        <v>21</v>
      </c>
      <c r="AN84" s="1044">
        <f t="shared" si="155"/>
        <v>21</v>
      </c>
      <c r="AO84" s="1045"/>
      <c r="AP84" s="1045">
        <f t="shared" si="156"/>
        <v>0.125</v>
      </c>
      <c r="AQ84" s="1038">
        <f>AM84*AO84*AG84</f>
        <v>0</v>
      </c>
      <c r="AR84" s="1039">
        <f t="shared" si="157"/>
        <v>2488.5</v>
      </c>
      <c r="AT84" s="1043">
        <f>COUNTA(Q84:AB84)*21</f>
        <v>63</v>
      </c>
      <c r="AU84" s="1044">
        <f t="shared" si="158"/>
        <v>63</v>
      </c>
      <c r="AV84" s="1045"/>
      <c r="AW84" s="1045">
        <f t="shared" si="135"/>
        <v>0.125</v>
      </c>
      <c r="AX84" s="1038">
        <f>AT84*AV84*AG84</f>
        <v>0</v>
      </c>
      <c r="AY84" s="1039">
        <f t="shared" si="159"/>
        <v>7465.5</v>
      </c>
      <c r="AZ84" s="1003"/>
      <c r="BB84" s="1002" t="s">
        <v>685</v>
      </c>
      <c r="BE84" s="1069">
        <f t="shared" si="153"/>
        <v>0.11871455576559543</v>
      </c>
      <c r="BF84" s="1070">
        <v>840734.99999999988</v>
      </c>
      <c r="BG84" s="1070"/>
      <c r="BH84" s="1070">
        <f>SUM(AK67:AK72)</f>
        <v>250110</v>
      </c>
      <c r="BI84" s="1070"/>
    </row>
    <row r="85" spans="1:61" ht="12.75" x14ac:dyDescent="0.2">
      <c r="A85" s="1000" t="s">
        <v>734</v>
      </c>
      <c r="B85" s="1001" t="s">
        <v>317</v>
      </c>
      <c r="C85" s="1041" t="s">
        <v>727</v>
      </c>
      <c r="E85" s="1042">
        <v>1</v>
      </c>
      <c r="F85" s="1033">
        <v>1</v>
      </c>
      <c r="G85" s="1033">
        <v>1</v>
      </c>
      <c r="H85" s="1033">
        <v>1</v>
      </c>
      <c r="I85" s="1033">
        <v>1</v>
      </c>
      <c r="J85" s="1033">
        <v>1</v>
      </c>
      <c r="K85" s="1033">
        <v>1</v>
      </c>
      <c r="L85" s="1033">
        <v>1</v>
      </c>
      <c r="M85" s="1033">
        <v>1</v>
      </c>
      <c r="N85" s="1033">
        <v>1</v>
      </c>
      <c r="O85" s="1033">
        <v>1</v>
      </c>
      <c r="P85" s="1034">
        <v>1</v>
      </c>
      <c r="Q85" s="1033">
        <v>1</v>
      </c>
      <c r="R85" s="1033">
        <v>1</v>
      </c>
      <c r="S85" s="1033">
        <v>1</v>
      </c>
      <c r="T85" s="1033">
        <v>1</v>
      </c>
      <c r="U85" s="1033">
        <v>1</v>
      </c>
      <c r="V85" s="1033">
        <v>1</v>
      </c>
      <c r="W85" s="1033">
        <v>1</v>
      </c>
      <c r="X85" s="1033">
        <v>1</v>
      </c>
      <c r="Y85" s="1033">
        <v>1</v>
      </c>
      <c r="Z85" s="1033">
        <v>1</v>
      </c>
      <c r="AA85" s="1033">
        <v>1</v>
      </c>
      <c r="AB85" s="1033">
        <v>1</v>
      </c>
      <c r="AC85" s="1043">
        <f t="shared" ref="AC85:AC86" si="160">COUNTA(E85:AB85)*21</f>
        <v>504</v>
      </c>
      <c r="AD85" s="1044">
        <f t="shared" si="9"/>
        <v>504</v>
      </c>
      <c r="AE85" s="1051"/>
      <c r="AF85" s="1045">
        <v>0.2</v>
      </c>
      <c r="AG85" s="1046">
        <f t="shared" si="154"/>
        <v>100.80000000000001</v>
      </c>
      <c r="AH85" s="1047"/>
      <c r="AI85" s="1048">
        <f>BF65</f>
        <v>1440</v>
      </c>
      <c r="AJ85" s="1049">
        <f t="shared" si="11"/>
        <v>0</v>
      </c>
      <c r="AK85" s="1050">
        <f t="shared" si="1"/>
        <v>145152.00000000003</v>
      </c>
      <c r="AL85" s="1040">
        <f t="shared" si="114"/>
        <v>1.7950005668873552E-2</v>
      </c>
      <c r="AM85" s="1043">
        <f t="shared" ref="AM85:AM86" si="161">COUNTA(E85:P85)*21</f>
        <v>252</v>
      </c>
      <c r="AN85" s="1044">
        <f t="shared" ref="AN85:AN86" si="162">AM85</f>
        <v>252</v>
      </c>
      <c r="AO85" s="1045"/>
      <c r="AP85" s="1045">
        <f t="shared" si="156"/>
        <v>0.2</v>
      </c>
      <c r="AQ85" s="1038">
        <f t="shared" ref="AQ85:AQ86" si="163">AM85*AO85*AG85</f>
        <v>0</v>
      </c>
      <c r="AR85" s="1039">
        <f t="shared" ref="AR85:AR86" si="164">AN85*AP85*AI85</f>
        <v>72576.000000000015</v>
      </c>
      <c r="AT85" s="1043">
        <f t="shared" ref="AT85:AT86" si="165">COUNTA(Q85:AB85)*21</f>
        <v>252</v>
      </c>
      <c r="AU85" s="1044">
        <f t="shared" ref="AU85:AU86" si="166">AT85</f>
        <v>252</v>
      </c>
      <c r="AV85" s="1045"/>
      <c r="AW85" s="1045">
        <f t="shared" si="135"/>
        <v>0.2</v>
      </c>
      <c r="AX85" s="1038">
        <f t="shared" ref="AX85:AX86" si="167">AT85*AV85*AG85</f>
        <v>0</v>
      </c>
      <c r="AY85" s="1039">
        <f t="shared" ref="AY85:AY86" si="168">AU85*AW85*AI85</f>
        <v>72576.000000000015</v>
      </c>
      <c r="AZ85" s="1003"/>
      <c r="BE85" s="1069"/>
      <c r="BF85" s="1003"/>
      <c r="BG85" s="1003"/>
      <c r="BH85" s="1003"/>
      <c r="BI85" s="1003"/>
    </row>
    <row r="86" spans="1:61" ht="12.75" x14ac:dyDescent="0.2">
      <c r="A86" s="1000" t="s">
        <v>734</v>
      </c>
      <c r="B86" s="1001" t="s">
        <v>317</v>
      </c>
      <c r="C86" s="1041" t="s">
        <v>728</v>
      </c>
      <c r="E86" s="1042">
        <v>1</v>
      </c>
      <c r="F86" s="1033">
        <v>1</v>
      </c>
      <c r="G86" s="1033">
        <v>1</v>
      </c>
      <c r="H86" s="1033">
        <v>1</v>
      </c>
      <c r="I86" s="1033">
        <v>1</v>
      </c>
      <c r="J86" s="1033">
        <v>1</v>
      </c>
      <c r="K86" s="1033">
        <v>1</v>
      </c>
      <c r="L86" s="1033">
        <v>1</v>
      </c>
      <c r="M86" s="1033">
        <v>1</v>
      </c>
      <c r="N86" s="1033">
        <v>1</v>
      </c>
      <c r="O86" s="1033">
        <v>1</v>
      </c>
      <c r="P86" s="1034">
        <v>1</v>
      </c>
      <c r="Q86" s="1033">
        <v>1</v>
      </c>
      <c r="R86" s="1033">
        <v>1</v>
      </c>
      <c r="S86" s="1033">
        <v>1</v>
      </c>
      <c r="T86" s="1033">
        <v>1</v>
      </c>
      <c r="U86" s="1033">
        <v>1</v>
      </c>
      <c r="V86" s="1033">
        <v>1</v>
      </c>
      <c r="W86" s="1033">
        <v>1</v>
      </c>
      <c r="X86" s="1033">
        <v>1</v>
      </c>
      <c r="Y86" s="1033">
        <v>1</v>
      </c>
      <c r="Z86" s="1033">
        <v>1</v>
      </c>
      <c r="AA86" s="1033">
        <v>1</v>
      </c>
      <c r="AB86" s="1033">
        <v>1</v>
      </c>
      <c r="AC86" s="1043">
        <f t="shared" si="160"/>
        <v>504</v>
      </c>
      <c r="AD86" s="1044">
        <f t="shared" ref="AD86" si="169">COUNTA(E86:AB86)*21</f>
        <v>504</v>
      </c>
      <c r="AE86" s="1051"/>
      <c r="AF86" s="1045">
        <v>0.5</v>
      </c>
      <c r="AG86" s="1046">
        <f t="shared" si="154"/>
        <v>252</v>
      </c>
      <c r="AH86" s="1047"/>
      <c r="AI86" s="1048">
        <f>BF64</f>
        <v>1068</v>
      </c>
      <c r="AJ86" s="1049">
        <f t="shared" ref="AJ86" si="170">AC86*AE86*AG86</f>
        <v>0</v>
      </c>
      <c r="AK86" s="1050">
        <f t="shared" si="1"/>
        <v>269136</v>
      </c>
      <c r="AL86" s="1040">
        <f t="shared" si="114"/>
        <v>3.328230217770304E-2</v>
      </c>
      <c r="AM86" s="1043">
        <f t="shared" si="161"/>
        <v>252</v>
      </c>
      <c r="AN86" s="1044">
        <f t="shared" si="162"/>
        <v>252</v>
      </c>
      <c r="AO86" s="1045"/>
      <c r="AP86" s="1045">
        <f t="shared" si="156"/>
        <v>0.5</v>
      </c>
      <c r="AQ86" s="1038">
        <f t="shared" si="163"/>
        <v>0</v>
      </c>
      <c r="AR86" s="1039">
        <f t="shared" si="164"/>
        <v>134568</v>
      </c>
      <c r="AT86" s="1043">
        <f t="shared" si="165"/>
        <v>252</v>
      </c>
      <c r="AU86" s="1044">
        <f t="shared" si="166"/>
        <v>252</v>
      </c>
      <c r="AV86" s="1045"/>
      <c r="AW86" s="1045">
        <f t="shared" si="135"/>
        <v>0.5</v>
      </c>
      <c r="AX86" s="1038">
        <f t="shared" si="167"/>
        <v>0</v>
      </c>
      <c r="AY86" s="1039">
        <f t="shared" si="168"/>
        <v>134568</v>
      </c>
      <c r="AZ86" s="1003"/>
      <c r="BE86" s="1069"/>
      <c r="BF86" s="1003"/>
      <c r="BG86" s="1003"/>
      <c r="BH86" s="1003"/>
      <c r="BI86" s="1003"/>
    </row>
    <row r="87" spans="1:61" ht="12.75" x14ac:dyDescent="0.2">
      <c r="A87" s="1000" t="s">
        <v>734</v>
      </c>
      <c r="B87" s="1001" t="s">
        <v>322</v>
      </c>
      <c r="C87" s="1041" t="s">
        <v>739</v>
      </c>
      <c r="E87" s="1042"/>
      <c r="F87" s="1033"/>
      <c r="G87" s="1033"/>
      <c r="H87" s="1033"/>
      <c r="I87" s="1033"/>
      <c r="J87" s="1033"/>
      <c r="K87" s="1033"/>
      <c r="L87" s="1033"/>
      <c r="M87" s="1033"/>
      <c r="N87" s="1033"/>
      <c r="O87" s="1033"/>
      <c r="P87" s="1034"/>
      <c r="Q87" s="1033"/>
      <c r="R87" s="1033"/>
      <c r="S87" s="1033"/>
      <c r="T87" s="1033"/>
      <c r="U87" s="1033"/>
      <c r="V87" s="1033"/>
      <c r="W87" s="1033"/>
      <c r="X87" s="1033">
        <v>1</v>
      </c>
      <c r="Y87" s="1033">
        <v>1</v>
      </c>
      <c r="Z87" s="1033">
        <v>1</v>
      </c>
      <c r="AA87" s="1033">
        <v>1</v>
      </c>
      <c r="AB87" s="1033">
        <v>1</v>
      </c>
      <c r="AC87" s="1043">
        <f t="shared" ref="AC87" si="171">COUNTA(E87:AB87)*21</f>
        <v>105</v>
      </c>
      <c r="AD87" s="1044">
        <f t="shared" ref="AD87" si="172">COUNTA(E87:AB87)*21</f>
        <v>105</v>
      </c>
      <c r="AE87" s="1051"/>
      <c r="AF87" s="1045">
        <v>0.5</v>
      </c>
      <c r="AG87" s="1046">
        <f t="shared" ref="AG87" si="173">AF87*AD87</f>
        <v>52.5</v>
      </c>
      <c r="AH87" s="1047"/>
      <c r="AI87" s="1048">
        <f>BF62</f>
        <v>852</v>
      </c>
      <c r="AJ87" s="1049">
        <f t="shared" ref="AJ87" si="174">AC87*AE87*AG87</f>
        <v>0</v>
      </c>
      <c r="AK87" s="1050">
        <f t="shared" ref="AK87" si="175">AD87*AF87*AI87</f>
        <v>44730</v>
      </c>
      <c r="AL87" s="1040">
        <f t="shared" si="114"/>
        <v>5.531468760807387E-3</v>
      </c>
      <c r="AM87" s="1043">
        <f t="shared" ref="AM87" si="176">COUNTA(E87:P87)*21</f>
        <v>0</v>
      </c>
      <c r="AN87" s="1044">
        <f t="shared" ref="AN87" si="177">AM87</f>
        <v>0</v>
      </c>
      <c r="AO87" s="1045"/>
      <c r="AP87" s="1045">
        <f t="shared" ref="AP87" si="178">AF87</f>
        <v>0.5</v>
      </c>
      <c r="AQ87" s="1038">
        <f t="shared" ref="AQ87" si="179">AM87*AO87*AG87</f>
        <v>0</v>
      </c>
      <c r="AR87" s="1039">
        <f t="shared" ref="AR87" si="180">AN87*AP87*AI87</f>
        <v>0</v>
      </c>
      <c r="AT87" s="1043">
        <f t="shared" ref="AT87" si="181">COUNTA(Q87:AB87)*21</f>
        <v>105</v>
      </c>
      <c r="AU87" s="1044">
        <f t="shared" ref="AU87" si="182">AT87</f>
        <v>105</v>
      </c>
      <c r="AV87" s="1045"/>
      <c r="AW87" s="1045">
        <f t="shared" ref="AW87" si="183">AF87</f>
        <v>0.5</v>
      </c>
      <c r="AX87" s="1038">
        <f t="shared" ref="AX87" si="184">AT87*AV87*AG87</f>
        <v>0</v>
      </c>
      <c r="AY87" s="1039">
        <f t="shared" ref="AY87" si="185">AU87*AW87*AI87</f>
        <v>44730</v>
      </c>
      <c r="AZ87" s="1003"/>
      <c r="BE87" s="1069"/>
      <c r="BF87" s="1003"/>
      <c r="BG87" s="1003"/>
      <c r="BH87" s="1003"/>
      <c r="BI87" s="1003"/>
    </row>
    <row r="88" spans="1:61" x14ac:dyDescent="0.2">
      <c r="A88" s="1000" t="s">
        <v>734</v>
      </c>
      <c r="C88" s="1059" t="s">
        <v>726</v>
      </c>
      <c r="E88" s="1042"/>
      <c r="F88" s="1033"/>
      <c r="G88" s="1033"/>
      <c r="H88" s="1033"/>
      <c r="I88" s="1033"/>
      <c r="J88" s="1033"/>
      <c r="K88" s="1033"/>
      <c r="L88" s="1033"/>
      <c r="M88" s="1033"/>
      <c r="N88" s="1033"/>
      <c r="O88" s="1033"/>
      <c r="P88" s="1034"/>
      <c r="Q88" s="1033"/>
      <c r="R88" s="1033"/>
      <c r="S88" s="1033"/>
      <c r="T88" s="1033"/>
      <c r="U88" s="1033"/>
      <c r="V88" s="1033"/>
      <c r="W88" s="1033"/>
      <c r="X88" s="1033"/>
      <c r="Y88" s="1033"/>
      <c r="Z88" s="1033"/>
      <c r="AA88" s="1033"/>
      <c r="AB88" s="1033"/>
      <c r="AC88" s="1060"/>
      <c r="AD88" s="1061"/>
      <c r="AE88" s="1062"/>
      <c r="AF88" s="1063" t="s">
        <v>688</v>
      </c>
      <c r="AG88" s="1064">
        <f>SUM(AG80:AG86)</f>
        <v>636.29999999999995</v>
      </c>
      <c r="AH88" s="1065"/>
      <c r="AI88" s="1066"/>
      <c r="AJ88" s="1049"/>
      <c r="AK88" s="1050"/>
      <c r="AL88" s="1040">
        <f t="shared" si="114"/>
        <v>0</v>
      </c>
      <c r="AM88" s="1060"/>
      <c r="AN88" s="1061"/>
      <c r="AO88" s="1063"/>
      <c r="AP88" s="1063"/>
      <c r="AQ88" s="1038"/>
      <c r="AR88" s="1039"/>
      <c r="AT88" s="1060"/>
      <c r="AU88" s="1061"/>
      <c r="AV88" s="1063"/>
      <c r="AW88" s="1063"/>
      <c r="AX88" s="1038"/>
      <c r="AY88" s="1039"/>
      <c r="BF88" s="1003">
        <f>SUM(BF76:BF83)</f>
        <v>7081987.5000000009</v>
      </c>
    </row>
    <row r="89" spans="1:61" ht="13.5" thickBot="1" x14ac:dyDescent="0.25">
      <c r="A89" s="1000" t="s">
        <v>734</v>
      </c>
      <c r="B89" s="1001" t="s">
        <v>148</v>
      </c>
      <c r="C89" s="1041" t="s">
        <v>723</v>
      </c>
      <c r="E89" s="1042">
        <v>1</v>
      </c>
      <c r="F89" s="1033">
        <v>1</v>
      </c>
      <c r="G89" s="1033">
        <v>1</v>
      </c>
      <c r="H89" s="1033">
        <v>1</v>
      </c>
      <c r="I89" s="1033">
        <v>1</v>
      </c>
      <c r="J89" s="1033">
        <v>1</v>
      </c>
      <c r="K89" s="1033">
        <v>1</v>
      </c>
      <c r="L89" s="1033">
        <v>1</v>
      </c>
      <c r="M89" s="1033">
        <v>1</v>
      </c>
      <c r="N89" s="1033">
        <v>1</v>
      </c>
      <c r="O89" s="1033">
        <v>1</v>
      </c>
      <c r="P89" s="1071">
        <v>1</v>
      </c>
      <c r="Q89" s="1033">
        <v>1</v>
      </c>
      <c r="R89" s="1033">
        <v>1</v>
      </c>
      <c r="S89" s="1033">
        <v>1</v>
      </c>
      <c r="T89" s="1033">
        <v>1</v>
      </c>
      <c r="U89" s="1033">
        <v>1</v>
      </c>
      <c r="V89" s="1033">
        <v>1</v>
      </c>
      <c r="W89" s="1033">
        <v>1</v>
      </c>
      <c r="X89" s="1033">
        <v>1</v>
      </c>
      <c r="Y89" s="1033">
        <v>1</v>
      </c>
      <c r="Z89" s="1033">
        <v>1</v>
      </c>
      <c r="AA89" s="1033">
        <v>1</v>
      </c>
      <c r="AB89" s="1033">
        <v>1</v>
      </c>
      <c r="AC89" s="1043">
        <f>COUNTA(E89:AB89)*21</f>
        <v>504</v>
      </c>
      <c r="AD89" s="1044">
        <f t="shared" ref="AD89" si="186">COUNTA(E89:AB89)*21</f>
        <v>504</v>
      </c>
      <c r="AE89" s="1051"/>
      <c r="AF89" s="1045">
        <f>((SUM(AK5:AK87)+TCO!C12)/0.93*0.07-SUM('TCO TO BE- SW'!F140:F141))/AI89/AD89</f>
        <v>1.1860984812890696</v>
      </c>
      <c r="AG89" s="1046">
        <f t="shared" si="154"/>
        <v>597.79363456969111</v>
      </c>
      <c r="AH89" s="1047"/>
      <c r="AI89" s="1048">
        <f>BF56</f>
        <v>1068</v>
      </c>
      <c r="AJ89" s="1049">
        <f t="shared" ref="AJ89" si="187">AC89*AE89*AG89</f>
        <v>0</v>
      </c>
      <c r="AK89" s="1050">
        <f t="shared" ref="AK89" si="188">AD89*AF89*AI89</f>
        <v>638443.60172043007</v>
      </c>
      <c r="AL89" s="1040">
        <f t="shared" si="114"/>
        <v>7.895217613355493E-2</v>
      </c>
      <c r="AM89" s="1043">
        <f>COUNTA(E89:P89)*21</f>
        <v>252</v>
      </c>
      <c r="AN89" s="1044">
        <f t="shared" ref="AN89" si="189">AM89</f>
        <v>252</v>
      </c>
      <c r="AO89" s="1045"/>
      <c r="AP89" s="1045">
        <f>AF89</f>
        <v>1.1860984812890696</v>
      </c>
      <c r="AQ89" s="1038">
        <f>AM89*AO89*AG89</f>
        <v>0</v>
      </c>
      <c r="AR89" s="1039">
        <f>AN89*AP89*AI89</f>
        <v>319221.80086021504</v>
      </c>
      <c r="AT89" s="1043">
        <f>COUNTA(Q89:AB89)*21</f>
        <v>252</v>
      </c>
      <c r="AU89" s="1044">
        <f t="shared" ref="AU89" si="190">AT89</f>
        <v>252</v>
      </c>
      <c r="AV89" s="1045"/>
      <c r="AW89" s="1045">
        <f t="shared" si="135"/>
        <v>1.1860984812890696</v>
      </c>
      <c r="AX89" s="1038">
        <f>AT89*AV89*AG89</f>
        <v>0</v>
      </c>
      <c r="AY89" s="1039">
        <f>AU89*AW89*AI89</f>
        <v>319221.80086021504</v>
      </c>
      <c r="AZ89" s="1003"/>
    </row>
    <row r="90" spans="1:61" ht="12.75" thickBot="1" x14ac:dyDescent="0.25">
      <c r="C90" s="1072" t="s">
        <v>149</v>
      </c>
      <c r="D90" s="1073"/>
      <c r="E90" s="1074"/>
      <c r="F90" s="1074"/>
      <c r="G90" s="1074"/>
      <c r="H90" s="1074"/>
      <c r="I90" s="1074"/>
      <c r="J90" s="1074"/>
      <c r="K90" s="1074"/>
      <c r="L90" s="1074"/>
      <c r="M90" s="1074"/>
      <c r="N90" s="1074"/>
      <c r="O90" s="1074"/>
      <c r="P90" s="1074"/>
      <c r="Q90" s="1074"/>
      <c r="R90" s="1074"/>
      <c r="S90" s="1074"/>
      <c r="T90" s="1074"/>
      <c r="U90" s="1074"/>
      <c r="V90" s="1074"/>
      <c r="W90" s="1074"/>
      <c r="X90" s="1074"/>
      <c r="Y90" s="1074"/>
      <c r="Z90" s="1074"/>
      <c r="AA90" s="1074"/>
      <c r="AB90" s="1074"/>
      <c r="AC90" s="1075"/>
      <c r="AD90" s="1075"/>
      <c r="AE90" s="1075"/>
      <c r="AF90" s="1075"/>
      <c r="AG90" s="1076"/>
      <c r="AH90" s="1076"/>
      <c r="AI90" s="1076"/>
      <c r="AJ90" s="1077">
        <f>SUM(AJ4:AJ89)</f>
        <v>0</v>
      </c>
      <c r="AK90" s="1078">
        <f>SUM(AK4:AK89)</f>
        <v>8086459.8417204292</v>
      </c>
      <c r="AL90" s="1040"/>
      <c r="AM90" s="1075"/>
      <c r="AN90" s="1075"/>
      <c r="AO90" s="1075"/>
      <c r="AP90" s="1075"/>
      <c r="AQ90" s="1079">
        <f>SUM(AQ4:AQ89)</f>
        <v>0</v>
      </c>
      <c r="AR90" s="1080">
        <f>SUM(AR4:AR89)</f>
        <v>2958451.8208602145</v>
      </c>
      <c r="AT90" s="1075"/>
      <c r="AU90" s="1075"/>
      <c r="AV90" s="1075"/>
      <c r="AW90" s="1075"/>
      <c r="AX90" s="1079">
        <f>SUM(AX4:AX89)</f>
        <v>0</v>
      </c>
      <c r="AY90" s="1080">
        <f>SUM(AY4:AY89)</f>
        <v>5128008.0208602156</v>
      </c>
    </row>
    <row r="92" spans="1:61" x14ac:dyDescent="0.2">
      <c r="C92" s="1002" t="s">
        <v>368</v>
      </c>
      <c r="AK92" s="1004">
        <f>-AK89</f>
        <v>-638443.60172043007</v>
      </c>
      <c r="AR92" s="1004">
        <f>-AR89</f>
        <v>-319221.80086021504</v>
      </c>
      <c r="AY92" s="1004">
        <f>-AY89</f>
        <v>-319221.80086021504</v>
      </c>
    </row>
    <row r="93" spans="1:61" x14ac:dyDescent="0.2">
      <c r="AK93" s="1004">
        <f>SUM(AK90:AK92)</f>
        <v>7448016.2399999993</v>
      </c>
      <c r="AR93" s="1004">
        <f>SUM(AR90:AR92)</f>
        <v>2639230.0199999996</v>
      </c>
      <c r="AY93" s="1004">
        <f>SUM(AY90:AY92)</f>
        <v>4808786.2200000007</v>
      </c>
    </row>
    <row r="94" spans="1:61" x14ac:dyDescent="0.2">
      <c r="AK94" s="1081">
        <f>AK93-SUM('TCO TO BE- SW'!F26:F35)</f>
        <v>4033133.0399999991</v>
      </c>
      <c r="AL94" s="1003"/>
      <c r="AR94" s="1081">
        <f>AR93-'TCO TO BE- SW'!F26</f>
        <v>1312155.9199999995</v>
      </c>
      <c r="AX94" s="1003"/>
      <c r="AY94" s="1081">
        <f>AY93-'TCO TO BE- SW'!F27</f>
        <v>2778632.040000001</v>
      </c>
    </row>
    <row r="96" spans="1:61" x14ac:dyDescent="0.2">
      <c r="C96" s="1082"/>
      <c r="AK96" s="1004">
        <f>AK90/850</f>
        <v>9513.4821667299166</v>
      </c>
    </row>
    <row r="97" spans="3:5" x14ac:dyDescent="0.2">
      <c r="D97" s="1083"/>
      <c r="E97" s="1069"/>
    </row>
    <row r="98" spans="3:5" x14ac:dyDescent="0.2">
      <c r="D98" s="1083"/>
      <c r="E98" s="1069"/>
    </row>
    <row r="99" spans="3:5" x14ac:dyDescent="0.2">
      <c r="D99" s="1083"/>
      <c r="E99" s="1069"/>
    </row>
    <row r="100" spans="3:5" x14ac:dyDescent="0.2">
      <c r="D100" s="1083"/>
      <c r="E100" s="1069"/>
    </row>
    <row r="101" spans="3:5" ht="15" x14ac:dyDescent="0.25">
      <c r="C101" s="1084" t="s">
        <v>735</v>
      </c>
      <c r="D101" s="1085" t="s">
        <v>738</v>
      </c>
      <c r="E101" s="1085"/>
    </row>
    <row r="102" spans="3:5" ht="15" x14ac:dyDescent="0.25">
      <c r="C102" s="1086" t="s">
        <v>317</v>
      </c>
      <c r="D102" s="1085">
        <v>1870417.08</v>
      </c>
      <c r="E102" s="1085"/>
    </row>
    <row r="103" spans="3:5" ht="15" x14ac:dyDescent="0.25">
      <c r="C103" s="1086" t="s">
        <v>320</v>
      </c>
      <c r="D103" s="1085">
        <v>29948.940000000002</v>
      </c>
      <c r="E103" s="1085"/>
    </row>
    <row r="104" spans="3:5" ht="15" x14ac:dyDescent="0.25">
      <c r="C104" s="1086" t="s">
        <v>321</v>
      </c>
      <c r="D104" s="1085">
        <v>1077804</v>
      </c>
      <c r="E104" s="1085"/>
    </row>
    <row r="105" spans="3:5" ht="15" x14ac:dyDescent="0.25">
      <c r="C105" s="1086" t="s">
        <v>322</v>
      </c>
      <c r="D105" s="1085">
        <v>86934.959999999992</v>
      </c>
      <c r="E105" s="1085"/>
    </row>
    <row r="106" spans="3:5" ht="15" x14ac:dyDescent="0.25">
      <c r="C106" s="1086" t="s">
        <v>148</v>
      </c>
      <c r="D106" s="1085">
        <v>538272</v>
      </c>
      <c r="E106" s="1085"/>
    </row>
    <row r="107" spans="3:5" ht="15" x14ac:dyDescent="0.25">
      <c r="C107" s="1086" t="s">
        <v>319</v>
      </c>
      <c r="D107" s="1085">
        <v>704697.84000000008</v>
      </c>
      <c r="E107" s="1085"/>
    </row>
    <row r="108" spans="3:5" ht="15" x14ac:dyDescent="0.25">
      <c r="C108" s="1086" t="s">
        <v>318</v>
      </c>
      <c r="D108" s="1085">
        <v>4052084.4</v>
      </c>
      <c r="E108" s="1085"/>
    </row>
    <row r="109" spans="3:5" ht="15" x14ac:dyDescent="0.25">
      <c r="C109" s="1086" t="s">
        <v>736</v>
      </c>
      <c r="D109" s="1085"/>
      <c r="E109" s="1085"/>
    </row>
    <row r="110" spans="3:5" ht="15" x14ac:dyDescent="0.25">
      <c r="C110" s="1086" t="s">
        <v>737</v>
      </c>
      <c r="D110" s="1085">
        <v>8360159.2200000007</v>
      </c>
      <c r="E110" s="1085"/>
    </row>
    <row r="111" spans="3:5" ht="15" x14ac:dyDescent="0.25">
      <c r="C111" s="1085"/>
      <c r="D111" s="1085"/>
      <c r="E111" s="1085"/>
    </row>
    <row r="112" spans="3:5" ht="15" x14ac:dyDescent="0.25">
      <c r="C112" s="1085"/>
      <c r="D112" s="1085"/>
      <c r="E112" s="1085"/>
    </row>
    <row r="113" spans="3:5" ht="15" x14ac:dyDescent="0.25">
      <c r="C113" s="1085"/>
      <c r="D113" s="1085"/>
      <c r="E113" s="1085"/>
    </row>
    <row r="114" spans="3:5" ht="15" x14ac:dyDescent="0.25">
      <c r="C114" s="1085"/>
      <c r="D114" s="1085"/>
      <c r="E114" s="1085"/>
    </row>
    <row r="115" spans="3:5" ht="15" x14ac:dyDescent="0.25">
      <c r="C115" s="1085"/>
      <c r="D115" s="1085"/>
      <c r="E115" s="1085"/>
    </row>
    <row r="116" spans="3:5" ht="15" x14ac:dyDescent="0.25">
      <c r="C116" s="1085"/>
      <c r="D116" s="1085"/>
      <c r="E116" s="1085"/>
    </row>
    <row r="117" spans="3:5" ht="15" x14ac:dyDescent="0.25">
      <c r="C117" s="1085"/>
      <c r="D117" s="1085"/>
      <c r="E117" s="1085"/>
    </row>
    <row r="118" spans="3:5" ht="15" x14ac:dyDescent="0.25">
      <c r="C118" s="1085"/>
      <c r="D118" s="1085"/>
      <c r="E118" s="1085"/>
    </row>
  </sheetData>
  <conditionalFormatting sqref="E89:O89 Q89:AB89">
    <cfRule type="colorScale" priority="17">
      <colorScale>
        <cfvo type="num" val="0"/>
        <cfvo type="num" val="1"/>
        <color theme="0"/>
        <color theme="2" tint="-0.249977111117893"/>
      </colorScale>
    </cfRule>
  </conditionalFormatting>
  <conditionalFormatting sqref="E4:AB11 E61:O84 Q61:AB84 E60:AB60">
    <cfRule type="colorScale" priority="22">
      <colorScale>
        <cfvo type="num" val="0"/>
        <cfvo type="num" val="1"/>
        <color theme="0"/>
        <color theme="2" tint="-0.249977111117893"/>
      </colorScale>
    </cfRule>
  </conditionalFormatting>
  <conditionalFormatting sqref="E12:AB17">
    <cfRule type="colorScale" priority="14">
      <colorScale>
        <cfvo type="num" val="0"/>
        <cfvo type="num" val="1"/>
        <color theme="0"/>
        <color theme="2" tint="-0.249977111117893"/>
      </colorScale>
    </cfRule>
  </conditionalFormatting>
  <conditionalFormatting sqref="E18:AB18">
    <cfRule type="colorScale" priority="13">
      <colorScale>
        <cfvo type="num" val="0"/>
        <cfvo type="num" val="1"/>
        <color theme="0"/>
        <color theme="2" tint="-0.249977111117893"/>
      </colorScale>
    </cfRule>
  </conditionalFormatting>
  <conditionalFormatting sqref="E19:AB24">
    <cfRule type="colorScale" priority="12">
      <colorScale>
        <cfvo type="num" val="0"/>
        <cfvo type="num" val="1"/>
        <color theme="0"/>
        <color theme="2" tint="-0.249977111117893"/>
      </colorScale>
    </cfRule>
  </conditionalFormatting>
  <conditionalFormatting sqref="E25:AB25">
    <cfRule type="colorScale" priority="7">
      <colorScale>
        <cfvo type="num" val="0"/>
        <cfvo type="num" val="1"/>
        <color theme="0"/>
        <color theme="2" tint="-0.249977111117893"/>
      </colorScale>
    </cfRule>
  </conditionalFormatting>
  <conditionalFormatting sqref="E26:AB31">
    <cfRule type="colorScale" priority="6">
      <colorScale>
        <cfvo type="num" val="0"/>
        <cfvo type="num" val="1"/>
        <color theme="0"/>
        <color theme="2" tint="-0.249977111117893"/>
      </colorScale>
    </cfRule>
  </conditionalFormatting>
  <conditionalFormatting sqref="E32:AB32">
    <cfRule type="colorScale" priority="9">
      <colorScale>
        <cfvo type="num" val="0"/>
        <cfvo type="num" val="1"/>
        <color theme="0"/>
        <color theme="2" tint="-0.249977111117893"/>
      </colorScale>
    </cfRule>
  </conditionalFormatting>
  <conditionalFormatting sqref="E33:AB38">
    <cfRule type="colorScale" priority="8">
      <colorScale>
        <cfvo type="num" val="0"/>
        <cfvo type="num" val="1"/>
        <color theme="0"/>
        <color theme="2" tint="-0.249977111117893"/>
      </colorScale>
    </cfRule>
  </conditionalFormatting>
  <conditionalFormatting sqref="E39:AB45">
    <cfRule type="colorScale" priority="5">
      <colorScale>
        <cfvo type="num" val="0"/>
        <cfvo type="num" val="1"/>
        <color theme="0"/>
        <color theme="2" tint="-0.249977111117893"/>
      </colorScale>
    </cfRule>
  </conditionalFormatting>
  <conditionalFormatting sqref="E46:AB52">
    <cfRule type="colorScale" priority="4">
      <colorScale>
        <cfvo type="num" val="0"/>
        <cfvo type="num" val="1"/>
        <color theme="0"/>
        <color theme="2" tint="-0.249977111117893"/>
      </colorScale>
    </cfRule>
  </conditionalFormatting>
  <conditionalFormatting sqref="E53:AB59">
    <cfRule type="colorScale" priority="3">
      <colorScale>
        <cfvo type="num" val="0"/>
        <cfvo type="num" val="1"/>
        <color theme="0"/>
        <color theme="2" tint="-0.249977111117893"/>
      </colorScale>
    </cfRule>
  </conditionalFormatting>
  <conditionalFormatting sqref="E85:AB87">
    <cfRule type="colorScale" priority="1">
      <colorScale>
        <cfvo type="num" val="0"/>
        <cfvo type="num" val="1"/>
        <color theme="0"/>
        <color theme="2" tint="-0.249977111117893"/>
      </colorScale>
    </cfRule>
  </conditionalFormatting>
  <conditionalFormatting sqref="P61:P84">
    <cfRule type="colorScale" priority="20">
      <colorScale>
        <cfvo type="num" val="0"/>
        <cfvo type="num" val="1"/>
        <color theme="0"/>
        <color theme="2" tint="-0.249977111117893"/>
      </colorScale>
    </cfRule>
  </conditionalFormatting>
  <conditionalFormatting sqref="P88">
    <cfRule type="colorScale" priority="16">
      <colorScale>
        <cfvo type="num" val="0"/>
        <cfvo type="num" val="1"/>
        <color theme="0"/>
        <color theme="2" tint="-0.249977111117893"/>
      </colorScale>
    </cfRule>
  </conditionalFormatting>
  <conditionalFormatting sqref="P89">
    <cfRule type="colorScale" priority="15">
      <colorScale>
        <cfvo type="num" val="0"/>
        <cfvo type="num" val="1"/>
        <color theme="0"/>
        <color theme="2" tint="-0.249977111117893"/>
      </colorScale>
    </cfRule>
  </conditionalFormatting>
  <conditionalFormatting sqref="Q88:AB88 E88:O88">
    <cfRule type="colorScale" priority="18">
      <colorScale>
        <cfvo type="num" val="0"/>
        <cfvo type="num" val="1"/>
        <color theme="0"/>
        <color theme="2" tint="-0.249977111117893"/>
      </colorScale>
    </cfRule>
  </conditionalFormatting>
  <pageMargins left="0.7" right="0.7" top="0.75" bottom="0.75" header="0.3" footer="0.3"/>
  <pageSetup paperSize="9" scale="38" orientation="portrait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I26"/>
  <sheetViews>
    <sheetView view="pageBreakPreview" zoomScaleNormal="100" zoomScaleSheetLayoutView="100" workbookViewId="0">
      <selection activeCell="C47" sqref="C47"/>
    </sheetView>
  </sheetViews>
  <sheetFormatPr defaultColWidth="8.85546875" defaultRowHeight="15" x14ac:dyDescent="0.25"/>
  <cols>
    <col min="1" max="1" width="51.42578125" customWidth="1"/>
    <col min="2" max="2" width="13.42578125" bestFit="1" customWidth="1"/>
    <col min="4" max="4" width="11.28515625" customWidth="1"/>
    <col min="5" max="5" width="21.42578125" customWidth="1"/>
    <col min="6" max="6" width="18.42578125" customWidth="1"/>
    <col min="7" max="7" width="48.85546875" customWidth="1"/>
    <col min="8" max="8" width="8.85546875" style="507"/>
    <col min="9" max="9" width="10.42578125" bestFit="1" customWidth="1"/>
  </cols>
  <sheetData>
    <row r="1" spans="1:9" ht="15.75" thickBot="1" x14ac:dyDescent="0.3"/>
    <row r="2" spans="1:9" ht="15.75" thickBot="1" x14ac:dyDescent="0.3">
      <c r="A2" s="418" t="s">
        <v>273</v>
      </c>
      <c r="B2" s="418" t="s">
        <v>274</v>
      </c>
      <c r="C2" s="418" t="s">
        <v>275</v>
      </c>
      <c r="D2" s="422" t="s">
        <v>941</v>
      </c>
      <c r="E2" s="422" t="s">
        <v>626</v>
      </c>
      <c r="F2" s="422" t="s">
        <v>636</v>
      </c>
      <c r="G2" s="418" t="s">
        <v>276</v>
      </c>
      <c r="H2" s="507" t="s">
        <v>357</v>
      </c>
    </row>
    <row r="3" spans="1:9" x14ac:dyDescent="0.25">
      <c r="A3" s="416" t="s">
        <v>315</v>
      </c>
      <c r="B3" s="419" t="s">
        <v>277</v>
      </c>
      <c r="C3" s="1154">
        <f>Rozpocet_koniec_projektu!K49</f>
        <v>240</v>
      </c>
      <c r="D3" s="1155">
        <f>E3/1.2</f>
        <v>2759.0000000000005</v>
      </c>
      <c r="E3" s="1156">
        <f>F3/C3</f>
        <v>3310.8</v>
      </c>
      <c r="F3" s="574">
        <f>Rozpocet_koniec_projektu!R49</f>
        <v>794592</v>
      </c>
      <c r="G3" s="417" t="s">
        <v>1116</v>
      </c>
      <c r="H3" s="507">
        <v>2</v>
      </c>
      <c r="I3" s="576"/>
    </row>
    <row r="4" spans="1:9" x14ac:dyDescent="0.25">
      <c r="A4" s="226" t="s">
        <v>316</v>
      </c>
      <c r="B4" s="420" t="s">
        <v>277</v>
      </c>
      <c r="C4" s="1157">
        <f>Rozpocet_koniec_projektu!K50</f>
        <v>240</v>
      </c>
      <c r="D4" s="1155">
        <f t="shared" ref="D4:D7" si="0">E4/1.2</f>
        <v>20.806666666666668</v>
      </c>
      <c r="E4" s="1156">
        <f t="shared" ref="E4:E7" si="1">F4/C4</f>
        <v>24.968</v>
      </c>
      <c r="F4" s="574">
        <f>Rozpocet_koniec_projektu!R50</f>
        <v>5992.32</v>
      </c>
      <c r="G4" s="417" t="s">
        <v>1116</v>
      </c>
      <c r="H4" s="507">
        <v>1</v>
      </c>
      <c r="I4" s="576"/>
    </row>
    <row r="5" spans="1:9" ht="38.25" x14ac:dyDescent="0.25">
      <c r="A5" s="575" t="s">
        <v>858</v>
      </c>
      <c r="B5" s="420" t="s">
        <v>277</v>
      </c>
      <c r="C5" s="1157">
        <f>Rozpocet_koniec_projektu!K51</f>
        <v>24</v>
      </c>
      <c r="D5" s="1155">
        <f t="shared" si="0"/>
        <v>694.75</v>
      </c>
      <c r="E5" s="1156">
        <f t="shared" si="1"/>
        <v>833.69999999999993</v>
      </c>
      <c r="F5" s="574">
        <f>Rozpocet_koniec_projektu!R51</f>
        <v>20008.8</v>
      </c>
      <c r="G5" s="417" t="s">
        <v>1116</v>
      </c>
      <c r="H5" s="507">
        <v>1</v>
      </c>
      <c r="I5" s="576"/>
    </row>
    <row r="6" spans="1:9" ht="51" x14ac:dyDescent="0.25">
      <c r="A6" s="575" t="s">
        <v>859</v>
      </c>
      <c r="B6" s="420" t="s">
        <v>277</v>
      </c>
      <c r="C6" s="1157">
        <f>Rozpocet_koniec_projektu!K52</f>
        <v>1</v>
      </c>
      <c r="D6" s="1155">
        <f t="shared" si="0"/>
        <v>152120</v>
      </c>
      <c r="E6" s="1156">
        <f t="shared" si="1"/>
        <v>182544</v>
      </c>
      <c r="F6" s="574">
        <f>Rozpocet_koniec_projektu!R52</f>
        <v>182544</v>
      </c>
      <c r="G6" s="417" t="s">
        <v>1116</v>
      </c>
      <c r="H6" s="507">
        <v>1</v>
      </c>
      <c r="I6" s="576"/>
    </row>
    <row r="7" spans="1:9" x14ac:dyDescent="0.25">
      <c r="A7" s="226" t="s">
        <v>366</v>
      </c>
      <c r="B7" s="420" t="s">
        <v>277</v>
      </c>
      <c r="C7" s="1157">
        <f>Rozpocet_koniec_projektu!K53</f>
        <v>331</v>
      </c>
      <c r="D7" s="1155">
        <f t="shared" si="0"/>
        <v>78.111581067472301</v>
      </c>
      <c r="E7" s="1156">
        <f t="shared" si="1"/>
        <v>93.733897280966758</v>
      </c>
      <c r="F7" s="574">
        <f>Rozpocet_koniec_projektu!R53</f>
        <v>31025.919999999998</v>
      </c>
      <c r="G7" s="417" t="s">
        <v>1116</v>
      </c>
      <c r="H7" s="507">
        <v>1</v>
      </c>
      <c r="I7" s="576"/>
    </row>
    <row r="8" spans="1:9" x14ac:dyDescent="0.25">
      <c r="A8" s="226"/>
      <c r="B8" s="420"/>
      <c r="C8" s="420"/>
      <c r="D8" s="420"/>
      <c r="E8" s="423"/>
      <c r="F8" s="421">
        <f t="shared" ref="F8:F23" si="2">E8*C8</f>
        <v>0</v>
      </c>
      <c r="G8" s="415"/>
    </row>
    <row r="9" spans="1:9" x14ac:dyDescent="0.25">
      <c r="A9" s="226"/>
      <c r="B9" s="420"/>
      <c r="C9" s="420"/>
      <c r="D9" s="420"/>
      <c r="E9" s="500"/>
      <c r="F9" s="421"/>
      <c r="G9" s="415"/>
    </row>
    <row r="10" spans="1:9" x14ac:dyDescent="0.25">
      <c r="A10" s="226"/>
      <c r="B10" s="420"/>
      <c r="C10" s="420"/>
      <c r="D10" s="420"/>
      <c r="E10" s="500"/>
      <c r="F10" s="421"/>
      <c r="G10" s="415"/>
    </row>
    <row r="11" spans="1:9" x14ac:dyDescent="0.25">
      <c r="A11" s="226"/>
      <c r="B11" s="420"/>
      <c r="C11" s="420"/>
      <c r="D11" s="420"/>
      <c r="E11" s="500"/>
      <c r="F11" s="421"/>
      <c r="G11" s="415"/>
    </row>
    <row r="12" spans="1:9" x14ac:dyDescent="0.25">
      <c r="A12" s="226"/>
      <c r="B12" s="420"/>
      <c r="C12" s="420"/>
      <c r="D12" s="420"/>
      <c r="E12" s="423"/>
      <c r="F12" s="421">
        <f t="shared" si="2"/>
        <v>0</v>
      </c>
      <c r="G12" s="415"/>
    </row>
    <row r="13" spans="1:9" x14ac:dyDescent="0.25">
      <c r="A13" s="226"/>
      <c r="B13" s="420"/>
      <c r="C13" s="420"/>
      <c r="D13" s="420"/>
      <c r="E13" s="423"/>
      <c r="F13" s="421">
        <f t="shared" si="2"/>
        <v>0</v>
      </c>
      <c r="G13" s="415"/>
    </row>
    <row r="14" spans="1:9" x14ac:dyDescent="0.25">
      <c r="A14" s="226"/>
      <c r="B14" s="420"/>
      <c r="C14" s="420"/>
      <c r="D14" s="420"/>
      <c r="E14" s="423"/>
      <c r="F14" s="421">
        <f t="shared" si="2"/>
        <v>0</v>
      </c>
      <c r="G14" s="415"/>
    </row>
    <row r="15" spans="1:9" x14ac:dyDescent="0.25">
      <c r="A15" s="226"/>
      <c r="B15" s="420"/>
      <c r="C15" s="420"/>
      <c r="D15" s="420"/>
      <c r="E15" s="423"/>
      <c r="F15" s="421">
        <f t="shared" si="2"/>
        <v>0</v>
      </c>
      <c r="G15" s="415"/>
    </row>
    <row r="16" spans="1:9" x14ac:dyDescent="0.25">
      <c r="A16" s="226"/>
      <c r="B16" s="420"/>
      <c r="C16" s="420"/>
      <c r="D16" s="420"/>
      <c r="E16" s="423"/>
      <c r="F16" s="421">
        <f t="shared" si="2"/>
        <v>0</v>
      </c>
      <c r="G16" s="415"/>
    </row>
    <row r="17" spans="1:7" x14ac:dyDescent="0.25">
      <c r="A17" s="226"/>
      <c r="B17" s="420"/>
      <c r="C17" s="420"/>
      <c r="D17" s="420"/>
      <c r="E17" s="423"/>
      <c r="F17" s="421">
        <f t="shared" si="2"/>
        <v>0</v>
      </c>
      <c r="G17" s="415"/>
    </row>
    <row r="18" spans="1:7" x14ac:dyDescent="0.25">
      <c r="A18" s="226"/>
      <c r="B18" s="420"/>
      <c r="C18" s="420"/>
      <c r="D18" s="420"/>
      <c r="E18" s="423"/>
      <c r="F18" s="421">
        <f t="shared" si="2"/>
        <v>0</v>
      </c>
      <c r="G18" s="415"/>
    </row>
    <row r="19" spans="1:7" x14ac:dyDescent="0.25">
      <c r="A19" s="226"/>
      <c r="B19" s="420"/>
      <c r="C19" s="420"/>
      <c r="D19" s="420"/>
      <c r="E19" s="423"/>
      <c r="F19" s="421">
        <f t="shared" si="2"/>
        <v>0</v>
      </c>
      <c r="G19" s="415"/>
    </row>
    <row r="20" spans="1:7" x14ac:dyDescent="0.25">
      <c r="A20" s="226"/>
      <c r="B20" s="420"/>
      <c r="C20" s="420"/>
      <c r="D20" s="420"/>
      <c r="E20" s="423"/>
      <c r="F20" s="421">
        <f t="shared" si="2"/>
        <v>0</v>
      </c>
      <c r="G20" s="415"/>
    </row>
    <row r="21" spans="1:7" x14ac:dyDescent="0.25">
      <c r="A21" s="226"/>
      <c r="B21" s="420"/>
      <c r="C21" s="420"/>
      <c r="D21" s="420"/>
      <c r="E21" s="423"/>
      <c r="F21" s="421">
        <f t="shared" si="2"/>
        <v>0</v>
      </c>
      <c r="G21" s="415"/>
    </row>
    <row r="22" spans="1:7" x14ac:dyDescent="0.25">
      <c r="A22" s="226"/>
      <c r="B22" s="420"/>
      <c r="C22" s="420"/>
      <c r="D22" s="420"/>
      <c r="E22" s="423"/>
      <c r="F22" s="421">
        <f t="shared" si="2"/>
        <v>0</v>
      </c>
      <c r="G22" s="415"/>
    </row>
    <row r="23" spans="1:7" ht="15.75" thickBot="1" x14ac:dyDescent="0.3">
      <c r="A23" s="577"/>
      <c r="B23" s="578"/>
      <c r="C23" s="578"/>
      <c r="D23" s="578"/>
      <c r="E23" s="579"/>
      <c r="F23" s="580">
        <f t="shared" si="2"/>
        <v>0</v>
      </c>
      <c r="G23" s="581"/>
    </row>
    <row r="25" spans="1:7" x14ac:dyDescent="0.25">
      <c r="F25" s="576">
        <f>SUM(F3:F23)</f>
        <v>1034163.04</v>
      </c>
    </row>
    <row r="26" spans="1:7" x14ac:dyDescent="0.25">
      <c r="F26" s="582">
        <f>F25-'TCO TO BE - HW'!E3</f>
        <v>0</v>
      </c>
    </row>
  </sheetData>
  <pageMargins left="0.7" right="0.7" top="0.75" bottom="0.75" header="0.3" footer="0.3"/>
  <pageSetup paperSize="9" scale="5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CC"/>
  </sheetPr>
  <dimension ref="A1:G52"/>
  <sheetViews>
    <sheetView showGridLines="0" zoomScaleNormal="100" zoomScaleSheetLayoutView="70" workbookViewId="0">
      <pane ySplit="1" topLeftCell="A35" activePane="bottomLeft" state="frozen"/>
      <selection activeCell="C47" sqref="C47"/>
      <selection pane="bottomLeft" activeCell="A49" sqref="A49"/>
    </sheetView>
  </sheetViews>
  <sheetFormatPr defaultColWidth="8.85546875" defaultRowHeight="15" x14ac:dyDescent="0.25"/>
  <cols>
    <col min="1" max="1" width="32.42578125" style="4" customWidth="1"/>
    <col min="2" max="2" width="66.5703125" style="4" customWidth="1"/>
    <col min="3" max="3" width="14.42578125" style="6" customWidth="1"/>
    <col min="4" max="4" width="23.42578125" style="4" customWidth="1"/>
    <col min="5" max="5" width="24" style="4" customWidth="1"/>
    <col min="6" max="6" width="13.140625" style="4" bestFit="1" customWidth="1"/>
    <col min="7" max="16384" width="8.85546875" style="4"/>
  </cols>
  <sheetData>
    <row r="1" spans="1:7" ht="34.5" thickTop="1" thickBot="1" x14ac:dyDescent="0.3">
      <c r="A1" s="1" t="s">
        <v>0</v>
      </c>
      <c r="B1" s="2" t="s">
        <v>1</v>
      </c>
      <c r="C1" s="5" t="s">
        <v>10</v>
      </c>
      <c r="D1" s="3" t="s">
        <v>2</v>
      </c>
      <c r="E1" s="3" t="s">
        <v>1102</v>
      </c>
    </row>
    <row r="2" spans="1:7" ht="147" customHeight="1" thickTop="1" thickBot="1" x14ac:dyDescent="0.3">
      <c r="A2" s="398" t="s">
        <v>3</v>
      </c>
      <c r="B2" s="399" t="s">
        <v>4</v>
      </c>
      <c r="C2" s="400" t="s">
        <v>11</v>
      </c>
      <c r="D2" s="162">
        <v>10</v>
      </c>
      <c r="E2" s="162">
        <v>10</v>
      </c>
    </row>
    <row r="3" spans="1:7" ht="41.45" customHeight="1" x14ac:dyDescent="0.25">
      <c r="A3" s="1333" t="s">
        <v>5</v>
      </c>
      <c r="B3" s="1344" t="s">
        <v>14</v>
      </c>
      <c r="C3" s="1346" t="s">
        <v>12</v>
      </c>
      <c r="D3" s="1335">
        <v>0.04</v>
      </c>
      <c r="E3" s="1335">
        <v>0.04</v>
      </c>
    </row>
    <row r="4" spans="1:7" ht="63" customHeight="1" thickBot="1" x14ac:dyDescent="0.3">
      <c r="A4" s="1334"/>
      <c r="B4" s="1345"/>
      <c r="C4" s="1347"/>
      <c r="D4" s="1336"/>
      <c r="E4" s="1336"/>
    </row>
    <row r="5" spans="1:7" ht="49.5" x14ac:dyDescent="0.25">
      <c r="A5" s="1333" t="s">
        <v>6</v>
      </c>
      <c r="B5" s="401" t="s">
        <v>7</v>
      </c>
      <c r="C5" s="1346" t="s">
        <v>12</v>
      </c>
      <c r="D5" s="1337">
        <v>0.05</v>
      </c>
      <c r="E5" s="1337">
        <v>0.05</v>
      </c>
    </row>
    <row r="6" spans="1:7" ht="50.25" thickBot="1" x14ac:dyDescent="0.3">
      <c r="A6" s="1334"/>
      <c r="B6" s="399" t="s">
        <v>8</v>
      </c>
      <c r="C6" s="1347"/>
      <c r="D6" s="1338"/>
      <c r="E6" s="1338"/>
    </row>
    <row r="7" spans="1:7" ht="33.75" thickBot="1" x14ac:dyDescent="0.3">
      <c r="A7" s="402" t="s">
        <v>170</v>
      </c>
      <c r="B7" s="403" t="s">
        <v>1094</v>
      </c>
      <c r="C7" s="404" t="s">
        <v>13</v>
      </c>
      <c r="D7" s="161">
        <v>1715</v>
      </c>
      <c r="E7" s="161">
        <v>1373</v>
      </c>
      <c r="F7" s="4" t="s">
        <v>1100</v>
      </c>
      <c r="G7" s="1171" t="s">
        <v>1099</v>
      </c>
    </row>
    <row r="8" spans="1:7" ht="15" customHeight="1" x14ac:dyDescent="0.25">
      <c r="A8" s="1339" t="s">
        <v>9</v>
      </c>
      <c r="B8" s="1329" t="s">
        <v>272</v>
      </c>
      <c r="C8" s="1348" t="s">
        <v>15</v>
      </c>
      <c r="D8" s="1341">
        <f>$D$7*1.352/(D12/12)</f>
        <v>14.780430278884465</v>
      </c>
      <c r="E8" s="1341">
        <v>11.379592337164752</v>
      </c>
    </row>
    <row r="9" spans="1:7" ht="57" customHeight="1" thickBot="1" x14ac:dyDescent="0.3">
      <c r="A9" s="1340"/>
      <c r="B9" s="1343"/>
      <c r="C9" s="1349"/>
      <c r="D9" s="1342"/>
      <c r="E9" s="1342"/>
    </row>
    <row r="10" spans="1:7" x14ac:dyDescent="0.25">
      <c r="A10" s="1327" t="s">
        <v>171</v>
      </c>
      <c r="B10" s="1329" t="s">
        <v>1103</v>
      </c>
      <c r="C10" s="1350" t="s">
        <v>15</v>
      </c>
      <c r="D10" s="1331">
        <f>D15*12/D12</f>
        <v>7.719521912350598</v>
      </c>
      <c r="E10" s="1331">
        <v>5.55</v>
      </c>
    </row>
    <row r="11" spans="1:7" ht="20.25" customHeight="1" thickBot="1" x14ac:dyDescent="0.3">
      <c r="A11" s="1328"/>
      <c r="B11" s="1330"/>
      <c r="C11" s="1351"/>
      <c r="D11" s="1332"/>
      <c r="E11" s="1332"/>
    </row>
    <row r="12" spans="1:7" ht="72" customHeight="1" thickBot="1" x14ac:dyDescent="0.3">
      <c r="A12" s="405" t="s">
        <v>269</v>
      </c>
      <c r="B12" s="403" t="s">
        <v>1097</v>
      </c>
      <c r="C12" s="406" t="s">
        <v>270</v>
      </c>
      <c r="D12" s="408">
        <v>1882.5</v>
      </c>
      <c r="E12" s="408">
        <v>1957.5</v>
      </c>
      <c r="F12" s="4" t="s">
        <v>1100</v>
      </c>
      <c r="G12" s="4" t="s">
        <v>1098</v>
      </c>
    </row>
    <row r="13" spans="1:7" ht="72" customHeight="1" thickBot="1" x14ac:dyDescent="0.3">
      <c r="A13" s="405" t="s">
        <v>271</v>
      </c>
      <c r="B13" s="403" t="s">
        <v>1096</v>
      </c>
      <c r="C13" s="406" t="s">
        <v>270</v>
      </c>
      <c r="D13" s="407">
        <v>2008</v>
      </c>
      <c r="E13" s="407">
        <v>2088</v>
      </c>
      <c r="F13" s="4" t="s">
        <v>1100</v>
      </c>
      <c r="G13" s="4" t="s">
        <v>1098</v>
      </c>
    </row>
    <row r="14" spans="1:7" ht="21" customHeight="1" thickBot="1" x14ac:dyDescent="0.3">
      <c r="A14" s="405" t="s">
        <v>25</v>
      </c>
      <c r="B14" s="405" t="s">
        <v>110</v>
      </c>
      <c r="C14" s="406" t="s">
        <v>11</v>
      </c>
      <c r="D14" s="102">
        <v>2022</v>
      </c>
      <c r="E14" s="102">
        <v>2019</v>
      </c>
    </row>
    <row r="15" spans="1:7" ht="21" customHeight="1" thickBot="1" x14ac:dyDescent="0.3">
      <c r="A15" s="405" t="s">
        <v>1095</v>
      </c>
      <c r="B15" s="405" t="s">
        <v>1104</v>
      </c>
      <c r="C15" s="406" t="s">
        <v>11</v>
      </c>
      <c r="D15" s="102">
        <v>1211</v>
      </c>
      <c r="E15" s="102"/>
      <c r="F15" s="4" t="s">
        <v>1100</v>
      </c>
      <c r="G15" s="1171" t="s">
        <v>1099</v>
      </c>
    </row>
    <row r="16" spans="1:7" customFormat="1" ht="21" customHeight="1" x14ac:dyDescent="0.25"/>
    <row r="17" spans="1:7" x14ac:dyDescent="0.25">
      <c r="A17" s="4" t="s">
        <v>635</v>
      </c>
      <c r="C17" s="6" t="s">
        <v>12</v>
      </c>
      <c r="D17" s="849">
        <v>0.2</v>
      </c>
    </row>
    <row r="18" spans="1:7" x14ac:dyDescent="0.25">
      <c r="A18" s="1087" t="s">
        <v>741</v>
      </c>
      <c r="B18" s="1087"/>
      <c r="C18" s="1088" t="s">
        <v>12</v>
      </c>
      <c r="D18" s="1089">
        <v>0.05</v>
      </c>
    </row>
    <row r="19" spans="1:7" x14ac:dyDescent="0.25">
      <c r="A19" s="4" t="s">
        <v>762</v>
      </c>
      <c r="B19"/>
      <c r="C19" s="6" t="s">
        <v>12</v>
      </c>
      <c r="D19" s="849">
        <v>0.4</v>
      </c>
    </row>
    <row r="23" spans="1:7" ht="20.25" thickBot="1" x14ac:dyDescent="0.3">
      <c r="A23" s="999" t="s">
        <v>950</v>
      </c>
    </row>
    <row r="24" spans="1:7" customFormat="1" ht="15.75" thickTop="1" x14ac:dyDescent="0.25"/>
    <row r="25" spans="1:7" ht="38.25" x14ac:dyDescent="0.25">
      <c r="A25" s="998" t="s">
        <v>768</v>
      </c>
      <c r="B25" s="998" t="s">
        <v>771</v>
      </c>
      <c r="C25" s="998" t="s">
        <v>772</v>
      </c>
      <c r="D25" s="998" t="s">
        <v>773</v>
      </c>
      <c r="E25" s="998" t="s">
        <v>774</v>
      </c>
      <c r="F25" s="998" t="s">
        <v>775</v>
      </c>
    </row>
    <row r="26" spans="1:7" ht="30" x14ac:dyDescent="0.25">
      <c r="A26" s="993" t="s">
        <v>947</v>
      </c>
      <c r="B26" s="994" t="s">
        <v>802</v>
      </c>
      <c r="C26" s="1166">
        <v>500</v>
      </c>
      <c r="D26" s="996">
        <v>500</v>
      </c>
      <c r="E26" s="1166">
        <v>250000</v>
      </c>
      <c r="F26" s="1166">
        <v>300000</v>
      </c>
    </row>
    <row r="27" spans="1:7" x14ac:dyDescent="0.25">
      <c r="A27" s="993" t="s">
        <v>948</v>
      </c>
      <c r="B27" s="994" t="s">
        <v>11</v>
      </c>
      <c r="C27" s="1166">
        <v>132800</v>
      </c>
      <c r="D27" s="996">
        <v>5</v>
      </c>
      <c r="E27" s="1166">
        <v>664000</v>
      </c>
      <c r="F27" s="1166">
        <v>796800</v>
      </c>
      <c r="G27" s="1168">
        <f>C27/(C27+C28)</f>
        <v>0.84830211820016865</v>
      </c>
    </row>
    <row r="28" spans="1:7" x14ac:dyDescent="0.25">
      <c r="A28" s="993" t="s">
        <v>949</v>
      </c>
      <c r="B28" s="994" t="s">
        <v>11</v>
      </c>
      <c r="C28" s="1166">
        <v>23748</v>
      </c>
      <c r="D28" s="996">
        <v>5</v>
      </c>
      <c r="E28" s="1166">
        <v>118740</v>
      </c>
      <c r="F28" s="1166">
        <v>142488</v>
      </c>
      <c r="G28" s="1168">
        <f>C28/(C27+C28)</f>
        <v>0.15169788179983137</v>
      </c>
    </row>
    <row r="30" spans="1:7" ht="20.25" thickBot="1" x14ac:dyDescent="0.3">
      <c r="A30" s="999" t="s">
        <v>1091</v>
      </c>
    </row>
    <row r="31" spans="1:7" ht="15.75" thickTop="1" x14ac:dyDescent="0.25">
      <c r="A31" s="4" t="s">
        <v>1101</v>
      </c>
    </row>
    <row r="33" spans="1:7" ht="38.25" x14ac:dyDescent="0.25">
      <c r="A33" s="998" t="s">
        <v>768</v>
      </c>
      <c r="B33" s="998" t="s">
        <v>771</v>
      </c>
      <c r="C33" s="998" t="s">
        <v>772</v>
      </c>
      <c r="D33" s="998" t="s">
        <v>773</v>
      </c>
      <c r="E33" s="998" t="s">
        <v>774</v>
      </c>
      <c r="F33" s="998" t="s">
        <v>775</v>
      </c>
    </row>
    <row r="34" spans="1:7" x14ac:dyDescent="0.25">
      <c r="A34" s="993" t="s">
        <v>1092</v>
      </c>
      <c r="B34" s="994" t="s">
        <v>1093</v>
      </c>
      <c r="C34" s="1167">
        <v>13145.67</v>
      </c>
      <c r="D34" s="995">
        <f>5*12</f>
        <v>60</v>
      </c>
      <c r="E34" s="1167">
        <f>C34*D34</f>
        <v>788740.2</v>
      </c>
      <c r="F34" s="1167">
        <f>E34*1.2</f>
        <v>946488.23999999987</v>
      </c>
      <c r="G34" s="4">
        <f>C34*12*1.2</f>
        <v>189297.64800000002</v>
      </c>
    </row>
    <row r="38" spans="1:7" ht="20.25" thickBot="1" x14ac:dyDescent="0.35">
      <c r="A38" s="1192" t="s">
        <v>1108</v>
      </c>
      <c r="B38" s="1191"/>
      <c r="C38" s="1191"/>
      <c r="D38" s="1191"/>
      <c r="E38" s="1191"/>
    </row>
    <row r="39" spans="1:7" customFormat="1" ht="15.75" thickTop="1" x14ac:dyDescent="0.25"/>
    <row r="40" spans="1:7" ht="15.75" thickBot="1" x14ac:dyDescent="0.3">
      <c r="A40" s="1193" t="s">
        <v>1120</v>
      </c>
      <c r="B40" s="1198"/>
      <c r="C40" s="1191"/>
      <c r="D40" s="1191"/>
      <c r="E40" s="1191"/>
    </row>
    <row r="41" spans="1:7" x14ac:dyDescent="0.25">
      <c r="A41"/>
      <c r="C41" s="4"/>
      <c r="D41" s="1191"/>
      <c r="E41" s="1191"/>
    </row>
    <row r="42" spans="1:7" ht="42.6" customHeight="1" x14ac:dyDescent="0.25">
      <c r="A42" s="1325" t="s">
        <v>1109</v>
      </c>
      <c r="B42" s="1325"/>
      <c r="C42" s="962">
        <v>3</v>
      </c>
      <c r="D42" s="962" t="s">
        <v>954</v>
      </c>
      <c r="E42" s="1191"/>
    </row>
    <row r="43" spans="1:7" x14ac:dyDescent="0.25">
      <c r="A43" s="1326" t="s">
        <v>1110</v>
      </c>
      <c r="B43" s="1326"/>
      <c r="C43" s="1199">
        <f>D12/40*C42</f>
        <v>141.1875</v>
      </c>
      <c r="D43" s="962" t="s">
        <v>954</v>
      </c>
      <c r="E43" s="1191"/>
    </row>
    <row r="44" spans="1:7" x14ac:dyDescent="0.25">
      <c r="A44" s="1326" t="s">
        <v>1112</v>
      </c>
      <c r="B44" s="1326"/>
      <c r="C44" s="1199">
        <f>C43*'Počet inšpektorov'!C28</f>
        <v>13073.962500000001</v>
      </c>
      <c r="D44" s="962" t="s">
        <v>954</v>
      </c>
      <c r="E44" s="1191"/>
    </row>
    <row r="45" spans="1:7" x14ac:dyDescent="0.25">
      <c r="A45" s="1326" t="s">
        <v>1113</v>
      </c>
      <c r="B45" s="1326"/>
      <c r="C45" s="1200">
        <f>C44*Faktory!D8</f>
        <v>193238.79120000007</v>
      </c>
      <c r="D45" s="962" t="s">
        <v>13</v>
      </c>
      <c r="E45" s="1191"/>
    </row>
    <row r="46" spans="1:7" x14ac:dyDescent="0.25">
      <c r="A46" s="1194" t="s">
        <v>1114</v>
      </c>
      <c r="B46" s="1194"/>
      <c r="C46" s="1201">
        <f>C44/'Procesy - AS IS'!AG5</f>
        <v>4.6692723214285721</v>
      </c>
      <c r="D46" s="962" t="s">
        <v>954</v>
      </c>
      <c r="E46" s="1191"/>
    </row>
    <row r="47" spans="1:7" x14ac:dyDescent="0.25">
      <c r="A47" s="1191"/>
      <c r="B47" s="1191"/>
      <c r="C47" s="1191"/>
      <c r="D47" s="1191"/>
      <c r="E47" s="1191"/>
    </row>
    <row r="48" spans="1:7" x14ac:dyDescent="0.25">
      <c r="A48" s="1191"/>
      <c r="B48" s="1191"/>
      <c r="C48" s="1191"/>
      <c r="D48" s="1191"/>
      <c r="E48" s="1191"/>
    </row>
    <row r="49" spans="1:6" ht="15.75" thickBot="1" x14ac:dyDescent="0.3">
      <c r="A49" s="1202" t="s">
        <v>1107</v>
      </c>
      <c r="B49" s="1202"/>
      <c r="C49" s="1202"/>
      <c r="D49" s="1202"/>
      <c r="E49" s="1202"/>
      <c r="F49" s="1198"/>
    </row>
    <row r="50" spans="1:6" x14ac:dyDescent="0.25">
      <c r="A50" s="1191"/>
      <c r="B50" s="1191"/>
      <c r="C50" s="1191"/>
      <c r="D50" s="1191"/>
      <c r="E50" s="1191"/>
    </row>
    <row r="51" spans="1:6" ht="89.25" customHeight="1" x14ac:dyDescent="0.25">
      <c r="A51" s="1324" t="s">
        <v>1121</v>
      </c>
      <c r="B51" s="1324"/>
      <c r="C51" s="962">
        <v>10</v>
      </c>
      <c r="D51" s="1203" t="s">
        <v>954</v>
      </c>
      <c r="E51" s="1191"/>
    </row>
    <row r="52" spans="1:6" x14ac:dyDescent="0.25">
      <c r="A52" s="1191"/>
      <c r="B52" s="1191"/>
      <c r="C52" s="1191"/>
      <c r="D52" s="1191"/>
      <c r="E52" s="1191"/>
    </row>
  </sheetData>
  <mergeCells count="24">
    <mergeCell ref="E3:E4"/>
    <mergeCell ref="E5:E6"/>
    <mergeCell ref="E8:E9"/>
    <mergeCell ref="E10:E11"/>
    <mergeCell ref="C10:C11"/>
    <mergeCell ref="A10:A11"/>
    <mergeCell ref="B10:B11"/>
    <mergeCell ref="D10:D11"/>
    <mergeCell ref="A3:A4"/>
    <mergeCell ref="D3:D4"/>
    <mergeCell ref="A5:A6"/>
    <mergeCell ref="D5:D6"/>
    <mergeCell ref="A8:A9"/>
    <mergeCell ref="D8:D9"/>
    <mergeCell ref="B8:B9"/>
    <mergeCell ref="B3:B4"/>
    <mergeCell ref="C3:C4"/>
    <mergeCell ref="C8:C9"/>
    <mergeCell ref="C5:C6"/>
    <mergeCell ref="A51:B51"/>
    <mergeCell ref="A42:B42"/>
    <mergeCell ref="A43:B43"/>
    <mergeCell ref="A45:B45"/>
    <mergeCell ref="A44:B44"/>
  </mergeCells>
  <hyperlinks>
    <hyperlink ref="G7" r:id="rId1" display="http://statdat.statistics.sk/cognosext/cgi-bin/cognos.cgi?b_action=cognosViewer&amp;ui.action=run&amp;ui.object=storeID(%22i2F54CEABC9464EB6B9D47D7B63C86C2B%22)&amp;ui.name=Priemern%c3%a1%20mesa%c4%8dn%c3%a1%20mzda%20pod%c4%bea%20odvetv%c3%ad%20%5bpr0205qs%5d&amp;run.outputFormat=&amp;run.prompt=true&amp;cv.header=false&amp;ui.backURL=%2fcognosext%2fcps4%2fportlets%2fcommon%2fclose.html" xr:uid="{9EADBC32-2AAB-4C8B-AF51-9237C22933E6}"/>
    <hyperlink ref="G15" r:id="rId2" display="http://statdat.statistics.sk/cognosext/cgi-bin/cognos.cgi?b_action=cognosViewer&amp;ui.action=run&amp;ui.object=storeID(%22i2F54CEABC9464EB6B9D47D7B63C86C2B%22)&amp;ui.name=Priemern%c3%a1%20mesa%c4%8dn%c3%a1%20mzda%20pod%c4%bea%20odvetv%c3%ad%20%5bpr0205qs%5d&amp;run.outputFormat=&amp;run.prompt=true&amp;cv.header=false&amp;ui.backURL=%2fcognosext%2fcps4%2fportlets%2fcommon%2fclose.html" xr:uid="{CD7CB0F8-3A45-42A6-9711-A0B60B268AA8}"/>
  </hyperlinks>
  <pageMargins left="0.7" right="0.7" top="0.75" bottom="0.75" header="0.3" footer="0.3"/>
  <pageSetup paperSize="9" scale="63" orientation="portrait"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</sheetPr>
  <dimension ref="A1:O7"/>
  <sheetViews>
    <sheetView view="pageBreakPreview" zoomScaleNormal="60" zoomScaleSheetLayoutView="100" workbookViewId="0">
      <selection activeCell="C47" sqref="C47"/>
    </sheetView>
  </sheetViews>
  <sheetFormatPr defaultColWidth="8.85546875" defaultRowHeight="15" x14ac:dyDescent="0.25"/>
  <sheetData>
    <row r="1" spans="1:15" x14ac:dyDescent="0.25">
      <c r="A1" t="s">
        <v>209</v>
      </c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</row>
    <row r="2" spans="1:15" x14ac:dyDescent="0.25"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</row>
    <row r="3" spans="1:15" x14ac:dyDescent="0.25">
      <c r="A3" s="228" t="s">
        <v>210</v>
      </c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</row>
    <row r="4" spans="1:15" x14ac:dyDescent="0.25">
      <c r="A4" t="s">
        <v>311</v>
      </c>
    </row>
    <row r="6" spans="1:15" x14ac:dyDescent="0.25">
      <c r="A6" s="229" t="s">
        <v>156</v>
      </c>
    </row>
    <row r="7" spans="1:15" x14ac:dyDescent="0.25">
      <c r="A7" t="s">
        <v>311</v>
      </c>
    </row>
  </sheetData>
  <pageMargins left="0.7" right="0.7" top="0.75" bottom="0.75" header="0.3" footer="0.3"/>
  <pageSetup paperSize="9" scale="33" orientation="portrait" r:id="rId1"/>
  <rowBreaks count="1" manualBreakCount="1">
    <brk id="5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</sheetPr>
  <dimension ref="A1:BP133"/>
  <sheetViews>
    <sheetView showGridLines="0" zoomScaleNormal="100" zoomScaleSheetLayoutView="90" workbookViewId="0">
      <pane xSplit="3" ySplit="2" topLeftCell="D112" activePane="bottomRight" state="frozen"/>
      <selection activeCell="C47" sqref="C47"/>
      <selection pane="topRight" activeCell="C47" sqref="C47"/>
      <selection pane="bottomLeft" activeCell="C47" sqref="C47"/>
      <selection pane="bottomRight" activeCell="C47" sqref="C47"/>
    </sheetView>
  </sheetViews>
  <sheetFormatPr defaultColWidth="8.85546875" defaultRowHeight="15" x14ac:dyDescent="0.25"/>
  <cols>
    <col min="2" max="2" width="21.42578125" customWidth="1"/>
    <col min="3" max="3" width="41.140625" customWidth="1"/>
    <col min="4" max="4" width="14.42578125" style="227" customWidth="1"/>
    <col min="5" max="5" width="14.140625" style="227" customWidth="1"/>
    <col min="6" max="6" width="14.85546875" style="227" customWidth="1"/>
    <col min="7" max="8" width="16.5703125" style="227" customWidth="1"/>
    <col min="9" max="16" width="14.85546875" style="227" customWidth="1"/>
    <col min="17" max="17" width="17.140625" style="227" customWidth="1"/>
    <col min="18" max="22" width="14.85546875" style="227" customWidth="1"/>
    <col min="23" max="23" width="16.85546875" style="227" customWidth="1"/>
    <col min="24" max="26" width="14.85546875" style="227" customWidth="1"/>
    <col min="27" max="27" width="12" style="227" customWidth="1"/>
    <col min="28" max="29" width="14.85546875" style="227" customWidth="1"/>
    <col min="30" max="30" width="10.5703125" style="227" customWidth="1"/>
    <col min="31" max="31" width="8" style="227" customWidth="1"/>
    <col min="32" max="32" width="13.5703125" style="227" customWidth="1"/>
    <col min="33" max="33" width="15.42578125" style="227" customWidth="1"/>
    <col min="34" max="34" width="9.5703125" style="227" customWidth="1"/>
    <col min="35" max="35" width="10.85546875" style="227" customWidth="1"/>
    <col min="36" max="36" width="11.140625" style="227" customWidth="1"/>
    <col min="37" max="41" width="8.42578125" style="227" customWidth="1"/>
    <col min="42" max="42" width="20.28515625" style="227" customWidth="1"/>
    <col min="43" max="43" width="18.85546875" style="227" customWidth="1"/>
    <col min="44" max="44" width="15.5703125" style="227" customWidth="1"/>
    <col min="45" max="45" width="13.85546875" style="227" bestFit="1" customWidth="1"/>
    <col min="46" max="46" width="10.140625" style="227" customWidth="1"/>
    <col min="47" max="51" width="8.42578125" style="227" customWidth="1"/>
  </cols>
  <sheetData>
    <row r="1" spans="1:68" ht="15.75" thickBot="1" x14ac:dyDescent="0.3">
      <c r="C1" s="227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59"/>
      <c r="S1" s="659"/>
      <c r="T1" s="659"/>
      <c r="U1" s="659"/>
      <c r="V1" s="659"/>
      <c r="W1" s="659"/>
      <c r="X1" s="659"/>
      <c r="Y1" s="659"/>
      <c r="Z1" s="659"/>
      <c r="AA1" s="659"/>
      <c r="AB1" s="659"/>
      <c r="AC1" s="659"/>
      <c r="AD1" s="659"/>
      <c r="AE1" s="659"/>
      <c r="AF1" s="659"/>
      <c r="AG1" s="659"/>
      <c r="AH1" s="659"/>
      <c r="AI1" s="659"/>
      <c r="AJ1" s="659"/>
    </row>
    <row r="2" spans="1:68" s="649" customFormat="1" ht="77.45" customHeight="1" thickBot="1" x14ac:dyDescent="0.3">
      <c r="A2" s="707"/>
      <c r="B2" s="230" t="s">
        <v>211</v>
      </c>
      <c r="C2" s="645" t="s">
        <v>512</v>
      </c>
      <c r="D2" s="646" t="s">
        <v>563</v>
      </c>
      <c r="E2" s="646" t="s">
        <v>564</v>
      </c>
      <c r="F2" s="646" t="s">
        <v>565</v>
      </c>
      <c r="G2" s="646" t="s">
        <v>566</v>
      </c>
      <c r="H2" s="646" t="s">
        <v>567</v>
      </c>
      <c r="I2" s="646" t="s">
        <v>568</v>
      </c>
      <c r="J2" s="646" t="s">
        <v>569</v>
      </c>
      <c r="K2" s="646" t="s">
        <v>570</v>
      </c>
      <c r="L2" s="646" t="s">
        <v>571</v>
      </c>
      <c r="M2" s="646" t="s">
        <v>572</v>
      </c>
      <c r="N2" s="646" t="s">
        <v>573</v>
      </c>
      <c r="O2" s="646" t="s">
        <v>574</v>
      </c>
      <c r="P2" s="646" t="s">
        <v>575</v>
      </c>
      <c r="Q2" s="646" t="s">
        <v>576</v>
      </c>
      <c r="R2" s="646" t="s">
        <v>515</v>
      </c>
      <c r="S2" s="646" t="s">
        <v>516</v>
      </c>
      <c r="T2" s="646" t="s">
        <v>577</v>
      </c>
      <c r="U2" s="646" t="s">
        <v>531</v>
      </c>
      <c r="V2" s="646" t="s">
        <v>578</v>
      </c>
      <c r="W2" s="646" t="s">
        <v>579</v>
      </c>
      <c r="X2" s="646" t="s">
        <v>580</v>
      </c>
      <c r="Y2" s="646" t="s">
        <v>584</v>
      </c>
      <c r="Z2" s="646" t="s">
        <v>581</v>
      </c>
      <c r="AA2" s="646" t="s">
        <v>582</v>
      </c>
      <c r="AB2" s="660" t="s">
        <v>586</v>
      </c>
      <c r="AC2" s="660" t="s">
        <v>583</v>
      </c>
      <c r="AD2" s="676" t="s">
        <v>539</v>
      </c>
      <c r="AE2" s="660" t="s">
        <v>312</v>
      </c>
      <c r="AF2" s="826" t="s">
        <v>590</v>
      </c>
      <c r="AG2" s="836" t="s">
        <v>585</v>
      </c>
      <c r="AH2" s="646" t="s">
        <v>517</v>
      </c>
      <c r="AI2" s="660" t="s">
        <v>518</v>
      </c>
      <c r="AJ2" s="685" t="s">
        <v>519</v>
      </c>
      <c r="AK2" s="643"/>
      <c r="AL2" s="194"/>
      <c r="AM2" s="648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</row>
    <row r="3" spans="1:68" x14ac:dyDescent="0.25">
      <c r="A3" s="159"/>
      <c r="B3" s="655"/>
      <c r="C3" s="656"/>
      <c r="D3" s="662" t="s">
        <v>513</v>
      </c>
      <c r="E3" s="661" t="s">
        <v>513</v>
      </c>
      <c r="F3" s="661" t="s">
        <v>513</v>
      </c>
      <c r="G3" s="665" t="s">
        <v>513</v>
      </c>
      <c r="H3" s="665" t="s">
        <v>513</v>
      </c>
      <c r="I3" s="665" t="s">
        <v>513</v>
      </c>
      <c r="J3" s="665" t="s">
        <v>513</v>
      </c>
      <c r="K3" s="665" t="s">
        <v>513</v>
      </c>
      <c r="L3" s="665" t="s">
        <v>513</v>
      </c>
      <c r="M3" s="665" t="s">
        <v>513</v>
      </c>
      <c r="N3" s="665" t="s">
        <v>513</v>
      </c>
      <c r="O3" s="665" t="s">
        <v>513</v>
      </c>
      <c r="P3" s="665" t="s">
        <v>513</v>
      </c>
      <c r="Q3" s="665" t="s">
        <v>513</v>
      </c>
      <c r="R3" s="665" t="s">
        <v>513</v>
      </c>
      <c r="S3" s="665" t="s">
        <v>513</v>
      </c>
      <c r="T3" s="665" t="s">
        <v>513</v>
      </c>
      <c r="U3" s="665" t="s">
        <v>513</v>
      </c>
      <c r="V3" s="665" t="s">
        <v>513</v>
      </c>
      <c r="W3" s="665" t="s">
        <v>513</v>
      </c>
      <c r="X3" s="665" t="s">
        <v>513</v>
      </c>
      <c r="Y3" s="665" t="s">
        <v>513</v>
      </c>
      <c r="Z3" s="665" t="s">
        <v>513</v>
      </c>
      <c r="AA3" s="665" t="s">
        <v>513</v>
      </c>
      <c r="AB3" s="661" t="s">
        <v>513</v>
      </c>
      <c r="AC3" s="661" t="s">
        <v>513</v>
      </c>
      <c r="AD3" s="702" t="s">
        <v>513</v>
      </c>
      <c r="AE3" s="663"/>
      <c r="AF3" s="827"/>
      <c r="AG3" s="837"/>
      <c r="AH3" s="684">
        <f>AH4/AG4</f>
        <v>0.33847311019180143</v>
      </c>
      <c r="AI3" s="1152">
        <f>AI5/AH5</f>
        <v>0.64476386036960986</v>
      </c>
      <c r="AJ3" s="686"/>
      <c r="AL3" s="232"/>
      <c r="AM3"/>
      <c r="AN3"/>
      <c r="AO3"/>
      <c r="AP3"/>
      <c r="AQ3"/>
      <c r="AR3"/>
      <c r="AS3"/>
      <c r="AT3"/>
      <c r="AU3"/>
      <c r="AV3"/>
      <c r="AW3"/>
      <c r="AX3"/>
      <c r="AY3"/>
    </row>
    <row r="4" spans="1:68" x14ac:dyDescent="0.25">
      <c r="A4" s="159"/>
      <c r="B4" s="666" t="s">
        <v>158</v>
      </c>
      <c r="C4" s="681" t="s">
        <v>521</v>
      </c>
      <c r="D4" s="698">
        <f t="shared" ref="D4:AC4" si="0">D6*$AG6/$AG4+D26*$AG26/$AG4+D49*$AG49/$AG4+D72*$AG72/$AG4+D86*$AG86/$AG4+D103*$AG103/$AG4</f>
        <v>0</v>
      </c>
      <c r="E4" s="698">
        <f t="shared" si="0"/>
        <v>0.65003051437553627</v>
      </c>
      <c r="F4" s="698">
        <f t="shared" si="0"/>
        <v>0.45355509364873114</v>
      </c>
      <c r="G4" s="698">
        <f t="shared" si="0"/>
        <v>10.712880304507348</v>
      </c>
      <c r="H4" s="698">
        <f t="shared" si="0"/>
        <v>0</v>
      </c>
      <c r="I4" s="698">
        <f t="shared" si="0"/>
        <v>0</v>
      </c>
      <c r="J4" s="698">
        <f t="shared" si="0"/>
        <v>0</v>
      </c>
      <c r="K4" s="698">
        <f t="shared" si="0"/>
        <v>0</v>
      </c>
      <c r="L4" s="698">
        <f t="shared" si="0"/>
        <v>0.3864365384217745</v>
      </c>
      <c r="M4" s="698">
        <f t="shared" si="0"/>
        <v>1.1399485677350811</v>
      </c>
      <c r="N4" s="698">
        <f t="shared" si="0"/>
        <v>0</v>
      </c>
      <c r="O4" s="698">
        <f t="shared" si="0"/>
        <v>0</v>
      </c>
      <c r="P4" s="698">
        <f t="shared" si="0"/>
        <v>6.01743228092898</v>
      </c>
      <c r="Q4" s="698">
        <f t="shared" si="0"/>
        <v>0</v>
      </c>
      <c r="R4" s="698">
        <f t="shared" si="0"/>
        <v>10.040077354040754</v>
      </c>
      <c r="S4" s="698">
        <f t="shared" si="0"/>
        <v>12.860770996786981</v>
      </c>
      <c r="T4" s="698">
        <f t="shared" si="0"/>
        <v>4.1249690824133909</v>
      </c>
      <c r="U4" s="698">
        <f t="shared" si="0"/>
        <v>3.439891780497832</v>
      </c>
      <c r="V4" s="698">
        <f t="shared" si="0"/>
        <v>1.9588820144323</v>
      </c>
      <c r="W4" s="698">
        <f t="shared" si="0"/>
        <v>0.49769505552059923</v>
      </c>
      <c r="X4" s="698">
        <f t="shared" si="0"/>
        <v>0</v>
      </c>
      <c r="Y4" s="698">
        <f t="shared" si="0"/>
        <v>4.4469543958317796</v>
      </c>
      <c r="Z4" s="698">
        <f t="shared" si="0"/>
        <v>4.8311656546701207E-2</v>
      </c>
      <c r="AA4" s="698">
        <f t="shared" si="0"/>
        <v>6.3396667606508722E-2</v>
      </c>
      <c r="AB4" s="698">
        <f t="shared" si="0"/>
        <v>0.36905226778606942</v>
      </c>
      <c r="AC4" s="698">
        <f t="shared" si="0"/>
        <v>7.4013314702302502</v>
      </c>
      <c r="AD4" s="755">
        <f>SUM(D4:AC4)</f>
        <v>64.611616041310626</v>
      </c>
      <c r="AE4" s="763">
        <f t="shared" ref="AE4:AJ4" si="1">AE6+AE26+AE49+AE72+AE86+AE103</f>
        <v>2350</v>
      </c>
      <c r="AF4" s="828">
        <f t="shared" si="1"/>
        <v>309</v>
      </c>
      <c r="AG4" s="838">
        <f t="shared" si="1"/>
        <v>2659</v>
      </c>
      <c r="AH4" s="830">
        <f t="shared" si="1"/>
        <v>900</v>
      </c>
      <c r="AI4" s="670">
        <f t="shared" si="1"/>
        <v>584</v>
      </c>
      <c r="AJ4" s="689">
        <f t="shared" si="1"/>
        <v>95</v>
      </c>
      <c r="AM4"/>
      <c r="AN4"/>
      <c r="AO4"/>
      <c r="AP4"/>
      <c r="AQ4"/>
      <c r="AR4"/>
      <c r="AS4"/>
      <c r="AT4"/>
      <c r="AU4"/>
      <c r="AV4"/>
      <c r="AW4"/>
      <c r="AX4"/>
      <c r="AY4"/>
    </row>
    <row r="5" spans="1:68" ht="45.75" thickBot="1" x14ac:dyDescent="0.3">
      <c r="A5" s="159"/>
      <c r="B5" s="666"/>
      <c r="C5" s="1211" t="s">
        <v>1117</v>
      </c>
      <c r="D5" s="1131">
        <v>0.25</v>
      </c>
      <c r="E5" s="1108">
        <v>0.65003051437553605</v>
      </c>
      <c r="F5" s="1108">
        <v>0.45355509364873114</v>
      </c>
      <c r="G5" s="1108">
        <v>10.712880304507348</v>
      </c>
      <c r="H5" s="1109">
        <v>0</v>
      </c>
      <c r="I5" s="1109">
        <v>0</v>
      </c>
      <c r="J5" s="1109">
        <v>0</v>
      </c>
      <c r="K5" s="1109">
        <v>0</v>
      </c>
      <c r="L5" s="1109">
        <v>0.3864365384217745</v>
      </c>
      <c r="M5" s="1108">
        <v>1.1399485677350811</v>
      </c>
      <c r="N5" s="1131">
        <v>2</v>
      </c>
      <c r="O5" s="1131">
        <v>3</v>
      </c>
      <c r="P5" s="1108">
        <v>6.01743228092898</v>
      </c>
      <c r="Q5" s="1131">
        <v>0.5</v>
      </c>
      <c r="R5" s="1108">
        <v>10.040077354040754</v>
      </c>
      <c r="S5" s="1108">
        <v>12.860770996786981</v>
      </c>
      <c r="T5" s="1108">
        <v>4.1249690824133909</v>
      </c>
      <c r="U5" s="1108">
        <v>3.439891780497832</v>
      </c>
      <c r="V5" s="1108">
        <v>1.9588820144323</v>
      </c>
      <c r="W5" s="1108">
        <v>0.49769505552059923</v>
      </c>
      <c r="X5" s="1131">
        <v>0.5</v>
      </c>
      <c r="Y5" s="1108">
        <v>4.4469543958317796</v>
      </c>
      <c r="Z5" s="1108">
        <v>4.8311656546701207E-2</v>
      </c>
      <c r="AA5" s="1108">
        <v>6.3396667606508722E-2</v>
      </c>
      <c r="AB5" s="1108">
        <v>0.36905226778606942</v>
      </c>
      <c r="AC5" s="1108">
        <v>7.4013314702302502</v>
      </c>
      <c r="AD5" s="1110">
        <f>SUM(D5:AC5)</f>
        <v>70.861616041310626</v>
      </c>
      <c r="AE5" s="1111"/>
      <c r="AF5" s="1112"/>
      <c r="AG5" s="1113">
        <f>AQ14</f>
        <v>2800</v>
      </c>
      <c r="AH5" s="1114">
        <f>AR14</f>
        <v>974</v>
      </c>
      <c r="AI5" s="1115">
        <f>AS14</f>
        <v>628</v>
      </c>
      <c r="AJ5" s="1116"/>
      <c r="AK5" s="232"/>
      <c r="AM5"/>
      <c r="AN5"/>
      <c r="AO5" s="61" t="s">
        <v>998</v>
      </c>
      <c r="AP5" s="61" t="s">
        <v>999</v>
      </c>
      <c r="AQ5" s="61" t="s">
        <v>1000</v>
      </c>
      <c r="AR5" s="61" t="s">
        <v>1001</v>
      </c>
      <c r="AS5" s="61" t="s">
        <v>622</v>
      </c>
      <c r="AT5"/>
      <c r="AU5"/>
      <c r="AV5"/>
      <c r="AW5"/>
      <c r="AX5"/>
      <c r="AY5"/>
    </row>
    <row r="6" spans="1:68" x14ac:dyDescent="0.25">
      <c r="A6" s="159"/>
      <c r="B6" s="501" t="s">
        <v>532</v>
      </c>
      <c r="C6" s="682" t="s">
        <v>550</v>
      </c>
      <c r="D6" s="662">
        <f t="shared" ref="D6:G6" si="2">D9*$AG9/($AG6-$AG25)+D12*$AG12/($AG6-$AG25)+D15*$AG15/($AG6-$AG25)+D18*$AG18/($AG6-$AG25)+D21*$AG21/($AG6-$AG25)+D24*$AG24/($AG6-$AG25)</f>
        <v>0</v>
      </c>
      <c r="E6" s="662">
        <f t="shared" si="2"/>
        <v>0</v>
      </c>
      <c r="F6" s="662">
        <f t="shared" si="2"/>
        <v>0.40802675585284282</v>
      </c>
      <c r="G6" s="661">
        <f t="shared" si="2"/>
        <v>12.073461146967036</v>
      </c>
      <c r="H6" s="729"/>
      <c r="I6" s="729"/>
      <c r="J6" s="729"/>
      <c r="K6" s="729"/>
      <c r="L6" s="729"/>
      <c r="M6" s="662"/>
      <c r="N6" s="662">
        <f>N9*$AG9/($AG6-$AG25)+N12*$AG12/($AG6-$AG25)+N15*$AG15/($AG6-$AG25)+N18*$AG18/($AG6-$AG25)+N21*$AG21/($AG6-$AG25)</f>
        <v>0</v>
      </c>
      <c r="O6" s="662"/>
      <c r="P6" s="662">
        <f t="shared" ref="P6:AA6" si="3">P9*$AG9/($AG6-$AG25)+P12*$AG12/($AG6-$AG25)+P15*$AG15/($AG6-$AG25)+P18*$AG18/($AG6-$AG25)+P21*$AG21/($AG6-$AG25)+P24*$AG24/($AG6-$AG25)</f>
        <v>10.903010033444817</v>
      </c>
      <c r="Q6" s="662">
        <f t="shared" si="3"/>
        <v>0</v>
      </c>
      <c r="R6" s="662">
        <f t="shared" si="3"/>
        <v>16.187290969899664</v>
      </c>
      <c r="S6" s="662">
        <f t="shared" si="3"/>
        <v>17.578595317725753</v>
      </c>
      <c r="T6" s="662">
        <f t="shared" si="3"/>
        <v>4.7792642140468224</v>
      </c>
      <c r="U6" s="662">
        <f t="shared" si="3"/>
        <v>4.6287625418060205</v>
      </c>
      <c r="V6" s="662">
        <f t="shared" si="3"/>
        <v>5.5777591973244158</v>
      </c>
      <c r="W6" s="662">
        <f t="shared" si="3"/>
        <v>1.1839464882943145</v>
      </c>
      <c r="X6" s="662">
        <f t="shared" si="3"/>
        <v>0</v>
      </c>
      <c r="Y6" s="662">
        <f t="shared" si="3"/>
        <v>7.1036789297658851</v>
      </c>
      <c r="Z6" s="662">
        <f t="shared" si="3"/>
        <v>0.12709030100334448</v>
      </c>
      <c r="AA6" s="662">
        <f t="shared" si="3"/>
        <v>6.354515050167224E-2</v>
      </c>
      <c r="AB6" s="662">
        <f>AB9*$AG9/($AG6-$AG25)+AB12*$AG12/($AG6-$AG25)+AB15*$AG15/($AG6-$AG25)+AB18*$AG18/($AG6-$AG25)+AB21*$AG21/($AG6-$AG25)+AB24*$AG24/($AG6-$AG25)</f>
        <v>0.63545150501672243</v>
      </c>
      <c r="AC6" s="662">
        <f>AC9*$AG9/($AG6-$AG25)+AC12*$AG12/($AG6-$AG25)+AC15*$AG15/($AG6-$AG25)+AC18*$AG18/($AG6-$AG25)+AC21*$AG21/($AG6-$AG25)+AC24*$AG24/($AG6-$AG25)</f>
        <v>1.7792642140468229</v>
      </c>
      <c r="AD6" s="756">
        <f>SUM(D6:AC6)</f>
        <v>83.029146765696126</v>
      </c>
      <c r="AE6" s="901">
        <f t="shared" ref="AE6:AJ6" si="4">SUM(AE7:AE25)</f>
        <v>462</v>
      </c>
      <c r="AF6" s="902">
        <f t="shared" si="4"/>
        <v>136</v>
      </c>
      <c r="AG6" s="837">
        <f t="shared" si="4"/>
        <v>598</v>
      </c>
      <c r="AH6" s="831">
        <f t="shared" si="4"/>
        <v>248</v>
      </c>
      <c r="AI6" s="663">
        <f t="shared" si="4"/>
        <v>177</v>
      </c>
      <c r="AJ6" s="686">
        <f t="shared" si="4"/>
        <v>19</v>
      </c>
      <c r="AL6" s="232"/>
      <c r="AM6"/>
      <c r="AN6" s="1090">
        <v>2016</v>
      </c>
      <c r="AO6" s="1090">
        <v>283</v>
      </c>
      <c r="AP6" s="1090">
        <v>178</v>
      </c>
      <c r="AQ6" s="1090">
        <v>3397</v>
      </c>
      <c r="AR6" s="1090">
        <v>770</v>
      </c>
      <c r="AS6" s="1090">
        <v>595</v>
      </c>
      <c r="AT6"/>
      <c r="AU6"/>
      <c r="AZ6" s="227"/>
    </row>
    <row r="7" spans="1:68" ht="32.1" customHeight="1" x14ac:dyDescent="0.25">
      <c r="A7" s="159">
        <v>1</v>
      </c>
      <c r="B7" s="668" t="str">
        <f>"Meranie č. "&amp;A7</f>
        <v>Meranie č. 1</v>
      </c>
      <c r="C7" s="671" t="s">
        <v>596</v>
      </c>
      <c r="D7" s="709">
        <v>0</v>
      </c>
      <c r="E7" s="669">
        <v>2</v>
      </c>
      <c r="F7" s="669">
        <v>2</v>
      </c>
      <c r="G7" s="669">
        <v>12</v>
      </c>
      <c r="H7" s="669" t="s">
        <v>555</v>
      </c>
      <c r="I7" s="669" t="s">
        <v>555</v>
      </c>
      <c r="J7" s="669" t="s">
        <v>555</v>
      </c>
      <c r="K7" s="669" t="s">
        <v>555</v>
      </c>
      <c r="L7" s="669" t="s">
        <v>555</v>
      </c>
      <c r="M7" s="669" t="s">
        <v>555</v>
      </c>
      <c r="N7" s="669">
        <v>0</v>
      </c>
      <c r="O7" s="669" t="s">
        <v>559</v>
      </c>
      <c r="P7" s="669">
        <v>16</v>
      </c>
      <c r="Q7" s="669">
        <v>0</v>
      </c>
      <c r="R7" s="669">
        <v>24</v>
      </c>
      <c r="S7" s="669">
        <v>24</v>
      </c>
      <c r="T7" s="669">
        <v>16</v>
      </c>
      <c r="U7" s="669">
        <v>8</v>
      </c>
      <c r="V7" s="669">
        <v>8</v>
      </c>
      <c r="W7" s="669">
        <v>4</v>
      </c>
      <c r="X7" s="669">
        <v>4</v>
      </c>
      <c r="Y7" s="669">
        <v>24</v>
      </c>
      <c r="Z7" s="669">
        <v>4</v>
      </c>
      <c r="AA7" s="669">
        <v>2</v>
      </c>
      <c r="AB7" s="669">
        <v>20</v>
      </c>
      <c r="AC7" s="669">
        <v>56</v>
      </c>
      <c r="AD7" s="757">
        <f>SUM(D7:AC7)</f>
        <v>226</v>
      </c>
      <c r="AE7" s="764"/>
      <c r="AF7" s="903"/>
      <c r="AG7" s="838"/>
      <c r="AH7" s="830"/>
      <c r="AI7" s="670"/>
      <c r="AJ7" s="689"/>
      <c r="AL7" s="232"/>
      <c r="AN7" s="1090">
        <v>2017</v>
      </c>
      <c r="AO7" s="1090">
        <v>245</v>
      </c>
      <c r="AP7" s="1090">
        <v>162</v>
      </c>
      <c r="AQ7" s="1090">
        <v>2659</v>
      </c>
      <c r="AR7" s="1090">
        <v>900</v>
      </c>
      <c r="AS7" s="1090">
        <v>581</v>
      </c>
      <c r="AT7"/>
      <c r="AU7"/>
      <c r="AZ7" s="227"/>
    </row>
    <row r="8" spans="1:68" x14ac:dyDescent="0.25">
      <c r="A8" s="159"/>
      <c r="B8" s="666"/>
      <c r="C8" s="650" t="s">
        <v>520</v>
      </c>
      <c r="D8" s="710">
        <v>0</v>
      </c>
      <c r="E8" s="713">
        <v>0</v>
      </c>
      <c r="F8" s="713">
        <v>0</v>
      </c>
      <c r="G8" s="713">
        <v>1</v>
      </c>
      <c r="H8" s="713"/>
      <c r="I8" s="713"/>
      <c r="J8" s="713"/>
      <c r="K8" s="713"/>
      <c r="L8" s="713"/>
      <c r="M8" s="713"/>
      <c r="N8" s="713">
        <v>0</v>
      </c>
      <c r="O8" s="713"/>
      <c r="P8" s="713">
        <v>1</v>
      </c>
      <c r="Q8" s="713">
        <v>0</v>
      </c>
      <c r="R8" s="713">
        <f>AH9/AG9</f>
        <v>0.36734693877551022</v>
      </c>
      <c r="S8" s="713">
        <f>1-R8</f>
        <v>0.63265306122448983</v>
      </c>
      <c r="T8" s="713">
        <f>$R8</f>
        <v>0.36734693877551022</v>
      </c>
      <c r="U8" s="713">
        <f>$S8</f>
        <v>0.63265306122448983</v>
      </c>
      <c r="V8" s="713">
        <v>1</v>
      </c>
      <c r="W8" s="713">
        <f>AI9/AG9</f>
        <v>0.25510204081632654</v>
      </c>
      <c r="X8" s="713">
        <v>0</v>
      </c>
      <c r="Y8" s="713">
        <f>W8</f>
        <v>0.25510204081632654</v>
      </c>
      <c r="Z8" s="713">
        <f>AJ9/AG9</f>
        <v>5.1020408163265307E-2</v>
      </c>
      <c r="AA8" s="713">
        <f>$Z8</f>
        <v>5.1020408163265307E-2</v>
      </c>
      <c r="AB8" s="713">
        <f>$AA8</f>
        <v>5.1020408163265307E-2</v>
      </c>
      <c r="AC8" s="713">
        <f>$AA8</f>
        <v>5.1020408163265307E-2</v>
      </c>
      <c r="AD8" s="758"/>
      <c r="AE8" s="904"/>
      <c r="AF8" s="905"/>
      <c r="AG8" s="839"/>
      <c r="AH8" s="832"/>
      <c r="AI8" s="711"/>
      <c r="AJ8" s="712"/>
      <c r="AL8" s="232"/>
      <c r="AM8" s="233"/>
      <c r="AN8" s="1090">
        <v>2018</v>
      </c>
      <c r="AO8" s="1090">
        <v>289</v>
      </c>
      <c r="AP8" s="1090">
        <v>132</v>
      </c>
      <c r="AQ8" s="1090">
        <v>2806</v>
      </c>
      <c r="AR8" s="1090">
        <v>989</v>
      </c>
      <c r="AS8" s="1090">
        <v>651</v>
      </c>
      <c r="AT8"/>
      <c r="AU8"/>
      <c r="AZ8" s="227"/>
    </row>
    <row r="9" spans="1:68" x14ac:dyDescent="0.25">
      <c r="A9" s="159"/>
      <c r="B9" s="231"/>
      <c r="C9" s="650" t="s">
        <v>587</v>
      </c>
      <c r="D9" s="714">
        <f>D7*D8</f>
        <v>0</v>
      </c>
      <c r="E9" s="715">
        <f t="shared" ref="E9:AC9" si="5">E7*E8</f>
        <v>0</v>
      </c>
      <c r="F9" s="715">
        <f t="shared" si="5"/>
        <v>0</v>
      </c>
      <c r="G9" s="715">
        <f t="shared" si="5"/>
        <v>12</v>
      </c>
      <c r="H9" s="715"/>
      <c r="I9" s="715"/>
      <c r="J9" s="715"/>
      <c r="K9" s="715"/>
      <c r="L9" s="715"/>
      <c r="M9" s="715"/>
      <c r="N9" s="715">
        <f t="shared" si="5"/>
        <v>0</v>
      </c>
      <c r="O9" s="715"/>
      <c r="P9" s="715">
        <f t="shared" si="5"/>
        <v>16</v>
      </c>
      <c r="Q9" s="715">
        <f t="shared" si="5"/>
        <v>0</v>
      </c>
      <c r="R9" s="715">
        <f t="shared" si="5"/>
        <v>8.8163265306122458</v>
      </c>
      <c r="S9" s="715">
        <f t="shared" si="5"/>
        <v>15.183673469387756</v>
      </c>
      <c r="T9" s="715">
        <f t="shared" si="5"/>
        <v>5.8775510204081636</v>
      </c>
      <c r="U9" s="715">
        <f t="shared" si="5"/>
        <v>5.0612244897959187</v>
      </c>
      <c r="V9" s="715">
        <f t="shared" si="5"/>
        <v>8</v>
      </c>
      <c r="W9" s="715">
        <f t="shared" si="5"/>
        <v>1.0204081632653061</v>
      </c>
      <c r="X9" s="715">
        <f t="shared" si="5"/>
        <v>0</v>
      </c>
      <c r="Y9" s="715">
        <f t="shared" si="5"/>
        <v>6.1224489795918373</v>
      </c>
      <c r="Z9" s="715">
        <f t="shared" si="5"/>
        <v>0.20408163265306123</v>
      </c>
      <c r="AA9" s="715">
        <f t="shared" si="5"/>
        <v>0.10204081632653061</v>
      </c>
      <c r="AB9" s="715">
        <f t="shared" si="5"/>
        <v>1.0204081632653061</v>
      </c>
      <c r="AC9" s="715">
        <f t="shared" si="5"/>
        <v>2.8571428571428572</v>
      </c>
      <c r="AD9" s="759">
        <f>SUM(D9:AC9)</f>
        <v>82.265306122448976</v>
      </c>
      <c r="AE9" s="906">
        <v>119</v>
      </c>
      <c r="AF9" s="907">
        <f>ROUND(AE9/SUM(AE$7:AE$12)*135,0)</f>
        <v>77</v>
      </c>
      <c r="AG9" s="840">
        <f>SUM(AE9:AF9)</f>
        <v>196</v>
      </c>
      <c r="AH9" s="833">
        <f>-ROUND(AG9/SUM(AG$7:AG$12)*SUM(-248,AH$13:AH$21),0)</f>
        <v>72</v>
      </c>
      <c r="AI9" s="716">
        <f>-ROUND(AH9/SUM(AH$7:AH$15)*SUM(-177,AI$19:AI$25),0)</f>
        <v>50</v>
      </c>
      <c r="AJ9" s="717">
        <f>ROUND(AI9/SUM(AI$7:AI$12,AI$21)*19,0)</f>
        <v>10</v>
      </c>
      <c r="AL9" s="232"/>
      <c r="AM9" s="233"/>
      <c r="AN9" s="1090">
        <v>2019</v>
      </c>
      <c r="AO9" s="1090">
        <v>319</v>
      </c>
      <c r="AP9" s="1090">
        <v>143</v>
      </c>
      <c r="AQ9" s="1090">
        <v>3254</v>
      </c>
      <c r="AR9" s="1090">
        <v>1144</v>
      </c>
      <c r="AS9" s="1090">
        <v>648</v>
      </c>
      <c r="AT9"/>
      <c r="AU9"/>
      <c r="AZ9" s="227"/>
    </row>
    <row r="10" spans="1:68" ht="32.1" customHeight="1" x14ac:dyDescent="0.25">
      <c r="A10" s="159">
        <f ca="1">OFFSET(A10,-3,0)+1</f>
        <v>2</v>
      </c>
      <c r="B10" s="668" t="str">
        <f ca="1">"Meranie č. "&amp;A10</f>
        <v>Meranie č. 2</v>
      </c>
      <c r="C10" s="671" t="s">
        <v>597</v>
      </c>
      <c r="D10" s="709">
        <v>0</v>
      </c>
      <c r="E10" s="669">
        <v>2</v>
      </c>
      <c r="F10" s="669">
        <v>2</v>
      </c>
      <c r="G10" s="669">
        <v>12</v>
      </c>
      <c r="H10" s="669" t="s">
        <v>555</v>
      </c>
      <c r="I10" s="669" t="s">
        <v>555</v>
      </c>
      <c r="J10" s="669" t="s">
        <v>555</v>
      </c>
      <c r="K10" s="669" t="s">
        <v>555</v>
      </c>
      <c r="L10" s="669" t="s">
        <v>555</v>
      </c>
      <c r="M10" s="669" t="s">
        <v>555</v>
      </c>
      <c r="N10" s="669">
        <v>0</v>
      </c>
      <c r="O10" s="669" t="s">
        <v>559</v>
      </c>
      <c r="P10" s="669">
        <v>16</v>
      </c>
      <c r="Q10" s="669">
        <v>0</v>
      </c>
      <c r="R10" s="669">
        <v>24</v>
      </c>
      <c r="S10" s="669">
        <v>24</v>
      </c>
      <c r="T10" s="669">
        <v>16</v>
      </c>
      <c r="U10" s="669">
        <v>8</v>
      </c>
      <c r="V10" s="669">
        <v>8</v>
      </c>
      <c r="W10" s="669">
        <v>4</v>
      </c>
      <c r="X10" s="669">
        <v>4</v>
      </c>
      <c r="Y10" s="669">
        <v>24</v>
      </c>
      <c r="Z10" s="669">
        <v>4</v>
      </c>
      <c r="AA10" s="669">
        <v>2</v>
      </c>
      <c r="AB10" s="669">
        <v>20</v>
      </c>
      <c r="AC10" s="669">
        <v>56</v>
      </c>
      <c r="AD10" s="757">
        <f>SUM(D10:AC10)</f>
        <v>226</v>
      </c>
      <c r="AE10" s="764"/>
      <c r="AF10" s="903"/>
      <c r="AG10" s="838"/>
      <c r="AH10" s="830"/>
      <c r="AI10" s="670"/>
      <c r="AJ10" s="689"/>
      <c r="AL10" s="232"/>
      <c r="AN10" s="1090">
        <v>2020</v>
      </c>
      <c r="AO10" s="1090">
        <v>442</v>
      </c>
      <c r="AP10" s="1090">
        <v>234</v>
      </c>
      <c r="AQ10" s="1090">
        <v>2328</v>
      </c>
      <c r="AR10" s="1090">
        <v>994</v>
      </c>
      <c r="AS10" s="1090">
        <v>613</v>
      </c>
      <c r="AT10"/>
      <c r="AU10"/>
      <c r="AZ10" s="227"/>
    </row>
    <row r="11" spans="1:68" x14ac:dyDescent="0.25">
      <c r="A11" s="159"/>
      <c r="B11" s="666"/>
      <c r="C11" s="650" t="s">
        <v>520</v>
      </c>
      <c r="D11" s="710">
        <v>0</v>
      </c>
      <c r="E11" s="713">
        <v>0</v>
      </c>
      <c r="F11" s="713">
        <v>0</v>
      </c>
      <c r="G11" s="713">
        <v>1</v>
      </c>
      <c r="H11" s="713"/>
      <c r="I11" s="713"/>
      <c r="J11" s="713"/>
      <c r="K11" s="713"/>
      <c r="L11" s="713"/>
      <c r="M11" s="713"/>
      <c r="N11" s="713">
        <v>0</v>
      </c>
      <c r="O11" s="713"/>
      <c r="P11" s="713">
        <v>1</v>
      </c>
      <c r="Q11" s="713">
        <v>0</v>
      </c>
      <c r="R11" s="713">
        <f>AH12/AG12</f>
        <v>0.36486486486486486</v>
      </c>
      <c r="S11" s="713">
        <f>1-R11</f>
        <v>0.63513513513513509</v>
      </c>
      <c r="T11" s="713">
        <f>$R11</f>
        <v>0.36486486486486486</v>
      </c>
      <c r="U11" s="713">
        <f>$S11</f>
        <v>0.63513513513513509</v>
      </c>
      <c r="V11" s="713">
        <v>1</v>
      </c>
      <c r="W11" s="713">
        <f>AI12/AG12</f>
        <v>0.25675675675675674</v>
      </c>
      <c r="X11" s="713">
        <v>0</v>
      </c>
      <c r="Y11" s="713">
        <f>W11</f>
        <v>0.25675675675675674</v>
      </c>
      <c r="Z11" s="713">
        <f>AJ12/AG12</f>
        <v>4.72972972972973E-2</v>
      </c>
      <c r="AA11" s="713">
        <f>$Z11</f>
        <v>4.72972972972973E-2</v>
      </c>
      <c r="AB11" s="713">
        <f>$AA11</f>
        <v>4.72972972972973E-2</v>
      </c>
      <c r="AC11" s="713">
        <f>$AA11</f>
        <v>4.72972972972973E-2</v>
      </c>
      <c r="AD11" s="758"/>
      <c r="AE11" s="904"/>
      <c r="AF11" s="905"/>
      <c r="AG11" s="839"/>
      <c r="AH11" s="832"/>
      <c r="AI11" s="711"/>
      <c r="AJ11" s="712"/>
      <c r="AL11" s="232"/>
      <c r="AM11" s="233"/>
      <c r="AN11" s="1090">
        <v>2021</v>
      </c>
      <c r="AO11" s="1090">
        <v>357</v>
      </c>
      <c r="AP11" s="1090">
        <v>183</v>
      </c>
      <c r="AQ11" s="1090">
        <v>2356</v>
      </c>
      <c r="AR11" s="1090">
        <v>1047</v>
      </c>
      <c r="AS11" s="1090">
        <v>680</v>
      </c>
      <c r="AT11"/>
      <c r="AU11"/>
      <c r="AZ11" s="227"/>
    </row>
    <row r="12" spans="1:68" x14ac:dyDescent="0.25">
      <c r="A12" s="159"/>
      <c r="B12" s="231"/>
      <c r="C12" s="650" t="s">
        <v>587</v>
      </c>
      <c r="D12" s="714">
        <f>D10*D11</f>
        <v>0</v>
      </c>
      <c r="E12" s="715">
        <f t="shared" ref="E12:G12" si="6">E10*E11</f>
        <v>0</v>
      </c>
      <c r="F12" s="715">
        <f t="shared" si="6"/>
        <v>0</v>
      </c>
      <c r="G12" s="715">
        <f t="shared" si="6"/>
        <v>12</v>
      </c>
      <c r="H12" s="715"/>
      <c r="I12" s="715"/>
      <c r="J12" s="715"/>
      <c r="K12" s="715"/>
      <c r="L12" s="715"/>
      <c r="M12" s="715"/>
      <c r="N12" s="715">
        <f t="shared" ref="N12" si="7">N10*N11</f>
        <v>0</v>
      </c>
      <c r="O12" s="715"/>
      <c r="P12" s="715">
        <f t="shared" ref="P12:AC12" si="8">P10*P11</f>
        <v>16</v>
      </c>
      <c r="Q12" s="715">
        <f t="shared" si="8"/>
        <v>0</v>
      </c>
      <c r="R12" s="715">
        <f t="shared" si="8"/>
        <v>8.7567567567567561</v>
      </c>
      <c r="S12" s="715">
        <f t="shared" si="8"/>
        <v>15.243243243243242</v>
      </c>
      <c r="T12" s="715">
        <f t="shared" si="8"/>
        <v>5.8378378378378377</v>
      </c>
      <c r="U12" s="715">
        <f t="shared" si="8"/>
        <v>5.0810810810810807</v>
      </c>
      <c r="V12" s="715">
        <f t="shared" si="8"/>
        <v>8</v>
      </c>
      <c r="W12" s="715">
        <f t="shared" si="8"/>
        <v>1.027027027027027</v>
      </c>
      <c r="X12" s="715">
        <f t="shared" si="8"/>
        <v>0</v>
      </c>
      <c r="Y12" s="715">
        <f t="shared" si="8"/>
        <v>6.1621621621621614</v>
      </c>
      <c r="Z12" s="715">
        <f t="shared" si="8"/>
        <v>0.1891891891891892</v>
      </c>
      <c r="AA12" s="715">
        <f t="shared" si="8"/>
        <v>9.45945945945946E-2</v>
      </c>
      <c r="AB12" s="715">
        <f t="shared" si="8"/>
        <v>0.94594594594594605</v>
      </c>
      <c r="AC12" s="715">
        <f t="shared" si="8"/>
        <v>2.6486486486486487</v>
      </c>
      <c r="AD12" s="759">
        <f>SUM(D12:AC12)</f>
        <v>81.986486486486498</v>
      </c>
      <c r="AE12" s="906">
        <v>90</v>
      </c>
      <c r="AF12" s="907">
        <f>ROUND(AE12/SUM(AE$7:AE$12)*135,0)</f>
        <v>58</v>
      </c>
      <c r="AG12" s="840">
        <f>SUM(AE12:AF12)</f>
        <v>148</v>
      </c>
      <c r="AH12" s="833">
        <f>-ROUND(AG12/SUM(AG$7:AG$12)*SUM(-248,AH$13:AH$21),0)</f>
        <v>54</v>
      </c>
      <c r="AI12" s="716">
        <f>-ROUND(AH12/SUM(AH$7:AH$15)*SUM(-177,AI$19:AI$25),0)</f>
        <v>38</v>
      </c>
      <c r="AJ12" s="717">
        <f>ROUND(AI12/SUM(AI$7:AI$12,AI$21)*19,0)</f>
        <v>7</v>
      </c>
      <c r="AL12" s="232"/>
      <c r="AM12" s="233"/>
      <c r="AN12" s="1090">
        <v>2022</v>
      </c>
      <c r="AO12" s="1090"/>
      <c r="AP12" s="1090"/>
      <c r="AQ12" s="1090">
        <v>2693</v>
      </c>
      <c r="AR12" s="1090">
        <v>1145</v>
      </c>
      <c r="AS12" s="1090">
        <v>732</v>
      </c>
      <c r="AT12"/>
      <c r="AU12"/>
      <c r="AZ12" s="227"/>
    </row>
    <row r="13" spans="1:68" ht="30.6" customHeight="1" x14ac:dyDescent="0.25">
      <c r="A13" s="159">
        <f ca="1">OFFSET(A13,-3,0)+1</f>
        <v>3</v>
      </c>
      <c r="B13" s="668" t="str">
        <f ca="1">"Meranie č. "&amp;A13</f>
        <v>Meranie č. 3</v>
      </c>
      <c r="C13" s="671" t="s">
        <v>591</v>
      </c>
      <c r="D13" s="709">
        <v>0.5</v>
      </c>
      <c r="E13" s="669">
        <v>0</v>
      </c>
      <c r="F13" s="669">
        <v>2</v>
      </c>
      <c r="G13" s="669">
        <v>11.528428093645484</v>
      </c>
      <c r="H13" s="669" t="s">
        <v>555</v>
      </c>
      <c r="I13" s="669" t="s">
        <v>555</v>
      </c>
      <c r="J13" s="669" t="s">
        <v>555</v>
      </c>
      <c r="K13" s="669" t="s">
        <v>555</v>
      </c>
      <c r="L13" s="669" t="s">
        <v>555</v>
      </c>
      <c r="M13" s="669" t="s">
        <v>555</v>
      </c>
      <c r="N13" s="669">
        <v>0</v>
      </c>
      <c r="O13" s="669" t="s">
        <v>559</v>
      </c>
      <c r="P13" s="669">
        <v>4</v>
      </c>
      <c r="Q13" s="669">
        <v>4</v>
      </c>
      <c r="R13" s="669">
        <v>56</v>
      </c>
      <c r="S13" s="669">
        <v>40</v>
      </c>
      <c r="T13" s="669">
        <v>6</v>
      </c>
      <c r="U13" s="669">
        <v>8</v>
      </c>
      <c r="V13" s="669">
        <v>0.5</v>
      </c>
      <c r="W13" s="669">
        <v>4</v>
      </c>
      <c r="X13" s="669">
        <v>0</v>
      </c>
      <c r="Y13" s="669">
        <v>24</v>
      </c>
      <c r="Z13" s="669">
        <v>3</v>
      </c>
      <c r="AA13" s="669">
        <v>2</v>
      </c>
      <c r="AB13" s="669">
        <v>20</v>
      </c>
      <c r="AC13" s="669">
        <v>56</v>
      </c>
      <c r="AD13" s="757">
        <f>SUM(D13:AC13)</f>
        <v>241.52842809364549</v>
      </c>
      <c r="AE13" s="764"/>
      <c r="AF13" s="903"/>
      <c r="AG13" s="838"/>
      <c r="AH13" s="830"/>
      <c r="AI13" s="670"/>
      <c r="AJ13" s="689"/>
      <c r="AL13" s="232"/>
      <c r="AN13" s="1090">
        <v>2023</v>
      </c>
      <c r="AO13" s="1090"/>
      <c r="AP13" s="1090"/>
      <c r="AQ13" s="1090">
        <v>2822</v>
      </c>
      <c r="AR13" s="1090">
        <v>1373</v>
      </c>
      <c r="AS13" s="1090">
        <v>855</v>
      </c>
      <c r="AT13"/>
      <c r="AU13"/>
      <c r="AZ13" s="227"/>
    </row>
    <row r="14" spans="1:68" ht="45" x14ac:dyDescent="0.25">
      <c r="A14" s="159"/>
      <c r="B14" s="666"/>
      <c r="C14" s="650" t="s">
        <v>520</v>
      </c>
      <c r="D14" s="710">
        <v>0</v>
      </c>
      <c r="E14" s="713">
        <v>0</v>
      </c>
      <c r="F14" s="713">
        <v>0</v>
      </c>
      <c r="G14" s="713">
        <v>1</v>
      </c>
      <c r="H14" s="713"/>
      <c r="I14" s="713"/>
      <c r="J14" s="713"/>
      <c r="K14" s="713"/>
      <c r="L14" s="713"/>
      <c r="M14" s="713"/>
      <c r="N14" s="713">
        <v>0</v>
      </c>
      <c r="O14" s="713"/>
      <c r="P14" s="713">
        <v>1</v>
      </c>
      <c r="Q14" s="713">
        <v>0</v>
      </c>
      <c r="R14" s="713">
        <f>AH15/AG15</f>
        <v>0.58115183246073299</v>
      </c>
      <c r="S14" s="713">
        <f>1-R14</f>
        <v>0.41884816753926701</v>
      </c>
      <c r="T14" s="713">
        <f>$R14</f>
        <v>0.58115183246073299</v>
      </c>
      <c r="U14" s="713">
        <f>$S14</f>
        <v>0.41884816753926701</v>
      </c>
      <c r="V14" s="713">
        <v>1</v>
      </c>
      <c r="W14" s="713">
        <f>AI15/AG15</f>
        <v>0.40837696335078533</v>
      </c>
      <c r="X14" s="713">
        <v>0</v>
      </c>
      <c r="Y14" s="713">
        <f>W14</f>
        <v>0.40837696335078533</v>
      </c>
      <c r="Z14" s="713">
        <f>AJ15/AG15</f>
        <v>0</v>
      </c>
      <c r="AA14" s="713">
        <f>$Z14</f>
        <v>0</v>
      </c>
      <c r="AB14" s="713">
        <f>$AA14</f>
        <v>0</v>
      </c>
      <c r="AC14" s="713">
        <f>$AA14</f>
        <v>0</v>
      </c>
      <c r="AD14" s="758"/>
      <c r="AE14" s="904"/>
      <c r="AF14" s="905"/>
      <c r="AG14" s="839"/>
      <c r="AH14" s="832"/>
      <c r="AI14" s="711"/>
      <c r="AJ14" s="712"/>
      <c r="AL14" s="232"/>
      <c r="AM14" s="233"/>
      <c r="AN14" s="1106" t="s">
        <v>1002</v>
      </c>
      <c r="AO14" s="1106">
        <f>AVERAGE(AO6:AO11)</f>
        <v>322.5</v>
      </c>
      <c r="AP14" s="1106">
        <f>AVERAGE(AP6:AP11)</f>
        <v>172</v>
      </c>
      <c r="AQ14" s="1106">
        <f>ROUND(AVERAGE(AQ6:AQ11),)</f>
        <v>2800</v>
      </c>
      <c r="AR14" s="1106">
        <f t="shared" ref="AR14:AS14" si="9">ROUND(AVERAGE(AR6:AR11),)</f>
        <v>974</v>
      </c>
      <c r="AS14" s="1106">
        <f t="shared" si="9"/>
        <v>628</v>
      </c>
      <c r="AT14"/>
      <c r="AU14"/>
      <c r="AZ14" s="227"/>
    </row>
    <row r="15" spans="1:68" ht="45" x14ac:dyDescent="0.25">
      <c r="A15" s="159"/>
      <c r="B15" s="231"/>
      <c r="C15" s="650" t="s">
        <v>587</v>
      </c>
      <c r="D15" s="714">
        <f>D13*D14</f>
        <v>0</v>
      </c>
      <c r="E15" s="715">
        <f t="shared" ref="E15:G15" si="10">E13*E14</f>
        <v>0</v>
      </c>
      <c r="F15" s="715">
        <f t="shared" si="10"/>
        <v>0</v>
      </c>
      <c r="G15" s="715">
        <f t="shared" si="10"/>
        <v>11.528428093645484</v>
      </c>
      <c r="H15" s="715"/>
      <c r="I15" s="715"/>
      <c r="J15" s="715"/>
      <c r="K15" s="715"/>
      <c r="L15" s="715"/>
      <c r="M15" s="715"/>
      <c r="N15" s="715">
        <f t="shared" ref="N15" si="11">N13*N14</f>
        <v>0</v>
      </c>
      <c r="O15" s="715"/>
      <c r="P15" s="715">
        <f t="shared" ref="P15:AC15" si="12">P13*P14</f>
        <v>4</v>
      </c>
      <c r="Q15" s="715">
        <f t="shared" si="12"/>
        <v>0</v>
      </c>
      <c r="R15" s="715">
        <f t="shared" si="12"/>
        <v>32.544502617801044</v>
      </c>
      <c r="S15" s="715">
        <f t="shared" si="12"/>
        <v>16.753926701570681</v>
      </c>
      <c r="T15" s="715">
        <f t="shared" si="12"/>
        <v>3.4869109947643979</v>
      </c>
      <c r="U15" s="715">
        <f t="shared" si="12"/>
        <v>3.3507853403141361</v>
      </c>
      <c r="V15" s="715">
        <f t="shared" si="12"/>
        <v>0.5</v>
      </c>
      <c r="W15" s="715">
        <f t="shared" si="12"/>
        <v>1.6335078534031413</v>
      </c>
      <c r="X15" s="715">
        <f t="shared" si="12"/>
        <v>0</v>
      </c>
      <c r="Y15" s="715">
        <f t="shared" si="12"/>
        <v>9.801047120418847</v>
      </c>
      <c r="Z15" s="715">
        <f t="shared" si="12"/>
        <v>0</v>
      </c>
      <c r="AA15" s="715">
        <f t="shared" si="12"/>
        <v>0</v>
      </c>
      <c r="AB15" s="715">
        <f t="shared" si="12"/>
        <v>0</v>
      </c>
      <c r="AC15" s="715">
        <f t="shared" si="12"/>
        <v>0</v>
      </c>
      <c r="AD15" s="759">
        <f>SUM(D15:AC15)</f>
        <v>83.59910872191773</v>
      </c>
      <c r="AE15" s="904">
        <v>191</v>
      </c>
      <c r="AF15" s="905">
        <v>0</v>
      </c>
      <c r="AG15" s="839">
        <f>SUM(AE15:AF15)</f>
        <v>191</v>
      </c>
      <c r="AH15" s="832">
        <v>111</v>
      </c>
      <c r="AI15" s="711">
        <f>-ROUND(AH15/SUM(AH$7:AH$15)*SUM(-177,AI$19:AI$25),0)</f>
        <v>78</v>
      </c>
      <c r="AJ15" s="712">
        <v>0</v>
      </c>
      <c r="AL15" s="232"/>
      <c r="AM15" s="233"/>
      <c r="AN15" s="1149" t="s">
        <v>1040</v>
      </c>
      <c r="AO15" s="1150"/>
      <c r="AP15" s="1150"/>
      <c r="AQ15" s="1151">
        <f>AVERAGE(AQ9:AQ11)</f>
        <v>2646</v>
      </c>
      <c r="AR15" s="1151">
        <f>AVERAGE(AR9:AR11)</f>
        <v>1061.6666666666667</v>
      </c>
      <c r="AS15" s="1151">
        <f>AVERAGE(AS9:AS11)</f>
        <v>647</v>
      </c>
      <c r="AT15"/>
      <c r="AU15"/>
      <c r="AZ15" s="227"/>
    </row>
    <row r="16" spans="1:68" ht="42.6" customHeight="1" x14ac:dyDescent="0.25">
      <c r="A16" s="159">
        <f ca="1">OFFSET(A16,-3,0)+1</f>
        <v>4</v>
      </c>
      <c r="B16" s="668" t="str">
        <f ca="1">"Meranie č. "&amp;A16</f>
        <v>Meranie č. 4</v>
      </c>
      <c r="C16" s="671" t="s">
        <v>747</v>
      </c>
      <c r="D16" s="709">
        <v>50</v>
      </c>
      <c r="E16" s="669">
        <v>1</v>
      </c>
      <c r="F16" s="669">
        <v>1</v>
      </c>
      <c r="G16" s="669">
        <v>10</v>
      </c>
      <c r="H16" s="669" t="s">
        <v>555</v>
      </c>
      <c r="I16" s="669" t="s">
        <v>555</v>
      </c>
      <c r="J16" s="669" t="s">
        <v>555</v>
      </c>
      <c r="K16" s="669" t="s">
        <v>555</v>
      </c>
      <c r="L16" s="669" t="s">
        <v>555</v>
      </c>
      <c r="M16" s="669" t="s">
        <v>555</v>
      </c>
      <c r="N16" s="669">
        <v>0</v>
      </c>
      <c r="O16" s="669" t="s">
        <v>559</v>
      </c>
      <c r="P16" s="669">
        <v>4</v>
      </c>
      <c r="Q16" s="669">
        <v>5</v>
      </c>
      <c r="R16" s="669">
        <v>56</v>
      </c>
      <c r="S16" s="669">
        <v>56</v>
      </c>
      <c r="T16" s="669">
        <v>8</v>
      </c>
      <c r="U16" s="669">
        <v>8</v>
      </c>
      <c r="V16" s="669">
        <v>8</v>
      </c>
      <c r="W16" s="669">
        <v>4</v>
      </c>
      <c r="X16" s="669">
        <v>6</v>
      </c>
      <c r="Y16" s="669">
        <v>24</v>
      </c>
      <c r="Z16" s="669">
        <v>6</v>
      </c>
      <c r="AA16" s="669">
        <v>3</v>
      </c>
      <c r="AB16" s="669">
        <v>16</v>
      </c>
      <c r="AC16" s="669">
        <v>56</v>
      </c>
      <c r="AD16" s="757">
        <f>SUM(D16:AC16)</f>
        <v>322</v>
      </c>
      <c r="AE16" s="908"/>
      <c r="AF16" s="909"/>
      <c r="AG16" s="910"/>
      <c r="AH16" s="911"/>
      <c r="AI16" s="912"/>
      <c r="AJ16" s="699"/>
      <c r="AL16" s="232"/>
      <c r="AN16"/>
      <c r="AO16"/>
      <c r="AP16"/>
      <c r="AQ16"/>
      <c r="AR16"/>
      <c r="AS16"/>
      <c r="AT16"/>
      <c r="AU16"/>
      <c r="AZ16" s="227"/>
    </row>
    <row r="17" spans="1:52" x14ac:dyDescent="0.25">
      <c r="A17" s="159"/>
      <c r="B17" s="666"/>
      <c r="C17" s="650" t="s">
        <v>520</v>
      </c>
      <c r="D17" s="710">
        <v>0</v>
      </c>
      <c r="E17" s="713">
        <v>0</v>
      </c>
      <c r="F17" s="713">
        <v>0</v>
      </c>
      <c r="G17" s="713">
        <v>1</v>
      </c>
      <c r="H17" s="713"/>
      <c r="I17" s="713"/>
      <c r="J17" s="713"/>
      <c r="K17" s="713"/>
      <c r="L17" s="713"/>
      <c r="M17" s="713"/>
      <c r="N17" s="713">
        <v>0</v>
      </c>
      <c r="O17" s="713"/>
      <c r="P17" s="713">
        <v>1</v>
      </c>
      <c r="Q17" s="713">
        <v>0</v>
      </c>
      <c r="R17" s="713">
        <f>AH15/AG15</f>
        <v>0.58115183246073299</v>
      </c>
      <c r="S17" s="713">
        <f>1-R17</f>
        <v>0.41884816753926701</v>
      </c>
      <c r="T17" s="713">
        <f>$R17</f>
        <v>0.58115183246073299</v>
      </c>
      <c r="U17" s="713">
        <f>$S17</f>
        <v>0.41884816753926701</v>
      </c>
      <c r="V17" s="713">
        <v>1</v>
      </c>
      <c r="W17" s="713">
        <f>AI15/AG15</f>
        <v>0.40837696335078533</v>
      </c>
      <c r="X17" s="713">
        <v>0</v>
      </c>
      <c r="Y17" s="713">
        <f>W17</f>
        <v>0.40837696335078533</v>
      </c>
      <c r="Z17" s="713">
        <f>AJ15/AG15</f>
        <v>0</v>
      </c>
      <c r="AA17" s="713">
        <f>$Z17</f>
        <v>0</v>
      </c>
      <c r="AB17" s="713">
        <f>$AA17</f>
        <v>0</v>
      </c>
      <c r="AC17" s="713">
        <f>$AA17</f>
        <v>0</v>
      </c>
      <c r="AD17" s="758"/>
      <c r="AE17" s="904"/>
      <c r="AF17" s="905"/>
      <c r="AG17" s="839"/>
      <c r="AH17" s="832"/>
      <c r="AI17" s="711"/>
      <c r="AJ17" s="712"/>
      <c r="AL17" s="232"/>
      <c r="AM17" s="233"/>
      <c r="AT17"/>
      <c r="AU17"/>
    </row>
    <row r="18" spans="1:52" x14ac:dyDescent="0.25">
      <c r="A18" s="159"/>
      <c r="B18" s="666"/>
      <c r="C18" s="650" t="s">
        <v>587</v>
      </c>
      <c r="D18" s="714">
        <f>D16*D17</f>
        <v>0</v>
      </c>
      <c r="E18" s="715">
        <f t="shared" ref="E18:G18" si="13">E16*E17</f>
        <v>0</v>
      </c>
      <c r="F18" s="715">
        <f t="shared" si="13"/>
        <v>0</v>
      </c>
      <c r="G18" s="715">
        <f t="shared" si="13"/>
        <v>10</v>
      </c>
      <c r="H18" s="715"/>
      <c r="I18" s="715"/>
      <c r="J18" s="715"/>
      <c r="K18" s="715"/>
      <c r="L18" s="715"/>
      <c r="M18" s="715"/>
      <c r="N18" s="715">
        <f t="shared" ref="N18" si="14">N16*N17</f>
        <v>0</v>
      </c>
      <c r="O18" s="715"/>
      <c r="P18" s="715">
        <f t="shared" ref="P18:AC18" si="15">P16*P17</f>
        <v>4</v>
      </c>
      <c r="Q18" s="715">
        <f t="shared" si="15"/>
        <v>0</v>
      </c>
      <c r="R18" s="715">
        <f t="shared" si="15"/>
        <v>32.544502617801044</v>
      </c>
      <c r="S18" s="715">
        <f t="shared" si="15"/>
        <v>23.455497382198953</v>
      </c>
      <c r="T18" s="715">
        <f t="shared" si="15"/>
        <v>4.6492146596858639</v>
      </c>
      <c r="U18" s="715">
        <f t="shared" si="15"/>
        <v>3.3507853403141361</v>
      </c>
      <c r="V18" s="715">
        <f t="shared" si="15"/>
        <v>8</v>
      </c>
      <c r="W18" s="715">
        <f t="shared" si="15"/>
        <v>1.6335078534031413</v>
      </c>
      <c r="X18" s="715">
        <f t="shared" si="15"/>
        <v>0</v>
      </c>
      <c r="Y18" s="715">
        <f t="shared" si="15"/>
        <v>9.801047120418847</v>
      </c>
      <c r="Z18" s="715">
        <f t="shared" si="15"/>
        <v>0</v>
      </c>
      <c r="AA18" s="715">
        <f t="shared" si="15"/>
        <v>0</v>
      </c>
      <c r="AB18" s="715">
        <f t="shared" si="15"/>
        <v>0</v>
      </c>
      <c r="AC18" s="715">
        <f t="shared" si="15"/>
        <v>0</v>
      </c>
      <c r="AD18" s="759">
        <f>SUM(D18:AC18)</f>
        <v>97.434554973821989</v>
      </c>
      <c r="AE18" s="906"/>
      <c r="AF18" s="907"/>
      <c r="AG18" s="840"/>
      <c r="AH18" s="833"/>
      <c r="AI18" s="716"/>
      <c r="AJ18" s="717"/>
      <c r="AL18" s="232"/>
      <c r="AM18" s="233"/>
    </row>
    <row r="19" spans="1:52" ht="29.45" customHeight="1" x14ac:dyDescent="0.25">
      <c r="A19" s="159">
        <f ca="1">OFFSET(A19,-3,0)+1</f>
        <v>5</v>
      </c>
      <c r="B19" s="668" t="str">
        <f ca="1">"Meranie č. "&amp;A19</f>
        <v>Meranie č. 5</v>
      </c>
      <c r="C19" s="671" t="s">
        <v>598</v>
      </c>
      <c r="D19" s="709">
        <v>0</v>
      </c>
      <c r="E19" s="669">
        <v>16</v>
      </c>
      <c r="F19" s="669">
        <v>4</v>
      </c>
      <c r="G19" s="669">
        <v>14</v>
      </c>
      <c r="H19" s="669" t="s">
        <v>555</v>
      </c>
      <c r="I19" s="669" t="s">
        <v>555</v>
      </c>
      <c r="J19" s="669" t="s">
        <v>555</v>
      </c>
      <c r="K19" s="669" t="s">
        <v>555</v>
      </c>
      <c r="L19" s="669">
        <v>4</v>
      </c>
      <c r="M19" s="669" t="s">
        <v>557</v>
      </c>
      <c r="N19" s="669">
        <v>0</v>
      </c>
      <c r="O19" s="669" t="s">
        <v>559</v>
      </c>
      <c r="P19" s="669">
        <v>4</v>
      </c>
      <c r="Q19" s="669">
        <v>0</v>
      </c>
      <c r="R19" s="669">
        <v>40</v>
      </c>
      <c r="S19" s="669">
        <v>40</v>
      </c>
      <c r="T19" s="669">
        <v>16</v>
      </c>
      <c r="U19" s="669">
        <v>8</v>
      </c>
      <c r="V19" s="669">
        <v>8</v>
      </c>
      <c r="W19" s="669">
        <v>4</v>
      </c>
      <c r="X19" s="669">
        <v>4</v>
      </c>
      <c r="Y19" s="669">
        <v>24</v>
      </c>
      <c r="Z19" s="669">
        <v>4</v>
      </c>
      <c r="AA19" s="669">
        <v>2</v>
      </c>
      <c r="AB19" s="669">
        <v>20</v>
      </c>
      <c r="AC19" s="669">
        <v>56</v>
      </c>
      <c r="AD19" s="757">
        <f>SUM(D19:AC19)</f>
        <v>268</v>
      </c>
      <c r="AE19" s="764"/>
      <c r="AF19" s="903"/>
      <c r="AG19" s="838"/>
      <c r="AH19" s="830"/>
      <c r="AI19" s="670"/>
      <c r="AJ19" s="689"/>
      <c r="AL19" s="232"/>
      <c r="AZ19" s="227"/>
    </row>
    <row r="20" spans="1:52" x14ac:dyDescent="0.25">
      <c r="A20" s="159"/>
      <c r="B20" s="666"/>
      <c r="C20" s="650" t="s">
        <v>520</v>
      </c>
      <c r="D20" s="710">
        <v>0</v>
      </c>
      <c r="E20" s="713">
        <v>0</v>
      </c>
      <c r="F20" s="713">
        <v>1</v>
      </c>
      <c r="G20" s="713">
        <v>1</v>
      </c>
      <c r="H20" s="713"/>
      <c r="I20" s="713"/>
      <c r="J20" s="713"/>
      <c r="K20" s="713"/>
      <c r="L20" s="713"/>
      <c r="M20" s="713"/>
      <c r="N20" s="713">
        <v>0</v>
      </c>
      <c r="O20" s="713"/>
      <c r="P20" s="713">
        <v>1</v>
      </c>
      <c r="Q20" s="713">
        <v>0</v>
      </c>
      <c r="R20" s="713">
        <f>AH21/AG21</f>
        <v>0.1864406779661017</v>
      </c>
      <c r="S20" s="713">
        <f>1-R20</f>
        <v>0.81355932203389836</v>
      </c>
      <c r="T20" s="713">
        <f>$R20</f>
        <v>0.1864406779661017</v>
      </c>
      <c r="U20" s="713">
        <f>$S20</f>
        <v>0.81355932203389836</v>
      </c>
      <c r="V20" s="713">
        <v>1</v>
      </c>
      <c r="W20" s="713">
        <f>AI21/AG21</f>
        <v>0.1864406779661017</v>
      </c>
      <c r="X20" s="713">
        <v>0</v>
      </c>
      <c r="Y20" s="713">
        <f>W20</f>
        <v>0.1864406779661017</v>
      </c>
      <c r="Z20" s="713">
        <f>AJ21/AG21</f>
        <v>3.3898305084745763E-2</v>
      </c>
      <c r="AA20" s="713">
        <f>$Z20</f>
        <v>3.3898305084745763E-2</v>
      </c>
      <c r="AB20" s="713">
        <f>$AA20</f>
        <v>3.3898305084745763E-2</v>
      </c>
      <c r="AC20" s="713">
        <f>$AA20</f>
        <v>3.3898305084745763E-2</v>
      </c>
      <c r="AD20" s="758"/>
      <c r="AE20" s="904"/>
      <c r="AF20" s="905"/>
      <c r="AG20" s="839"/>
      <c r="AH20" s="832"/>
      <c r="AI20" s="711"/>
      <c r="AJ20" s="712"/>
      <c r="AL20" s="232"/>
      <c r="AM20" s="233"/>
      <c r="AZ20" s="227"/>
    </row>
    <row r="21" spans="1:52" x14ac:dyDescent="0.25">
      <c r="A21" s="159"/>
      <c r="B21" s="666"/>
      <c r="C21" s="671" t="s">
        <v>587</v>
      </c>
      <c r="D21" s="739">
        <f>D19*D20</f>
        <v>0</v>
      </c>
      <c r="E21" s="740">
        <f t="shared" ref="E21:G21" si="16">E19*E20</f>
        <v>0</v>
      </c>
      <c r="F21" s="740">
        <f t="shared" si="16"/>
        <v>4</v>
      </c>
      <c r="G21" s="740">
        <f t="shared" si="16"/>
        <v>14</v>
      </c>
      <c r="H21" s="740"/>
      <c r="I21" s="740"/>
      <c r="J21" s="740"/>
      <c r="K21" s="740"/>
      <c r="L21" s="740"/>
      <c r="M21" s="740"/>
      <c r="N21" s="740">
        <f t="shared" ref="N21" si="17">N19*N20</f>
        <v>0</v>
      </c>
      <c r="O21" s="740"/>
      <c r="P21" s="740">
        <f t="shared" ref="P21:AC21" si="18">P19*P20</f>
        <v>4</v>
      </c>
      <c r="Q21" s="740">
        <f t="shared" si="18"/>
        <v>0</v>
      </c>
      <c r="R21" s="740">
        <f t="shared" si="18"/>
        <v>7.4576271186440675</v>
      </c>
      <c r="S21" s="740">
        <f t="shared" si="18"/>
        <v>32.542372881355931</v>
      </c>
      <c r="T21" s="740">
        <f t="shared" si="18"/>
        <v>2.9830508474576272</v>
      </c>
      <c r="U21" s="740">
        <f t="shared" si="18"/>
        <v>6.5084745762711869</v>
      </c>
      <c r="V21" s="740">
        <f t="shared" si="18"/>
        <v>8</v>
      </c>
      <c r="W21" s="740">
        <f t="shared" si="18"/>
        <v>0.74576271186440679</v>
      </c>
      <c r="X21" s="740">
        <f t="shared" si="18"/>
        <v>0</v>
      </c>
      <c r="Y21" s="740">
        <f t="shared" si="18"/>
        <v>4.4745762711864412</v>
      </c>
      <c r="Z21" s="740">
        <f t="shared" si="18"/>
        <v>0.13559322033898305</v>
      </c>
      <c r="AA21" s="740">
        <f t="shared" si="18"/>
        <v>6.7796610169491525E-2</v>
      </c>
      <c r="AB21" s="740">
        <f t="shared" si="18"/>
        <v>0.67796610169491522</v>
      </c>
      <c r="AC21" s="740">
        <f t="shared" si="18"/>
        <v>1.8983050847457628</v>
      </c>
      <c r="AD21" s="760">
        <f>SUM(D21:AC21)</f>
        <v>87.491525423728817</v>
      </c>
      <c r="AE21" s="904">
        <v>58</v>
      </c>
      <c r="AF21" s="905">
        <v>1</v>
      </c>
      <c r="AG21" s="839">
        <f>SUM(AE21:AF21)</f>
        <v>59</v>
      </c>
      <c r="AH21" s="832">
        <v>11</v>
      </c>
      <c r="AI21" s="711">
        <v>11</v>
      </c>
      <c r="AJ21" s="712">
        <f>ROUND(AI21/SUM(AI$7:AI$12,AI$21)*19,0)</f>
        <v>2</v>
      </c>
      <c r="AL21" s="232"/>
      <c r="AM21" s="233"/>
      <c r="AZ21" s="227"/>
    </row>
    <row r="22" spans="1:52" ht="29.45" customHeight="1" x14ac:dyDescent="0.25">
      <c r="A22" s="159">
        <f ca="1">OFFSET(A22,-3,0)+1</f>
        <v>6</v>
      </c>
      <c r="B22" s="668" t="str">
        <f ca="1">"Meranie č. "&amp;A22</f>
        <v>Meranie č. 6</v>
      </c>
      <c r="C22" s="671" t="s">
        <v>748</v>
      </c>
      <c r="D22" s="709">
        <v>0</v>
      </c>
      <c r="E22" s="669">
        <v>8</v>
      </c>
      <c r="F22" s="669">
        <v>2</v>
      </c>
      <c r="G22" s="669">
        <v>16</v>
      </c>
      <c r="H22" s="669" t="s">
        <v>555</v>
      </c>
      <c r="I22" s="669" t="s">
        <v>555</v>
      </c>
      <c r="J22" s="669" t="s">
        <v>555</v>
      </c>
      <c r="K22" s="669" t="s">
        <v>555</v>
      </c>
      <c r="L22" s="669" t="s">
        <v>555</v>
      </c>
      <c r="M22" s="669" t="s">
        <v>555</v>
      </c>
      <c r="N22" s="669">
        <v>0</v>
      </c>
      <c r="O22" s="669" t="s">
        <v>559</v>
      </c>
      <c r="P22" s="669">
        <v>4</v>
      </c>
      <c r="Q22" s="669">
        <v>0</v>
      </c>
      <c r="R22" s="669">
        <v>40</v>
      </c>
      <c r="S22" s="669">
        <v>40</v>
      </c>
      <c r="T22" s="669">
        <v>0</v>
      </c>
      <c r="U22" s="669">
        <v>0</v>
      </c>
      <c r="V22" s="669">
        <v>4</v>
      </c>
      <c r="W22" s="669">
        <v>4</v>
      </c>
      <c r="X22" s="669">
        <v>6</v>
      </c>
      <c r="Y22" s="669">
        <v>24</v>
      </c>
      <c r="Z22" s="669">
        <v>0</v>
      </c>
      <c r="AA22" s="669">
        <v>2</v>
      </c>
      <c r="AB22" s="669">
        <v>0</v>
      </c>
      <c r="AC22" s="669">
        <v>0</v>
      </c>
      <c r="AD22" s="757">
        <f>SUM(D22:AC22)</f>
        <v>150</v>
      </c>
      <c r="AE22" s="764"/>
      <c r="AF22" s="903"/>
      <c r="AG22" s="838"/>
      <c r="AH22" s="830"/>
      <c r="AI22" s="670"/>
      <c r="AJ22" s="689"/>
      <c r="AL22" s="232"/>
      <c r="AZ22" s="227"/>
    </row>
    <row r="23" spans="1:52" x14ac:dyDescent="0.25">
      <c r="A23" s="159"/>
      <c r="B23" s="666"/>
      <c r="C23" s="650" t="s">
        <v>520</v>
      </c>
      <c r="D23" s="710">
        <v>0</v>
      </c>
      <c r="E23" s="713">
        <v>0</v>
      </c>
      <c r="F23" s="713">
        <v>1</v>
      </c>
      <c r="G23" s="713">
        <v>1</v>
      </c>
      <c r="H23" s="713"/>
      <c r="I23" s="713"/>
      <c r="J23" s="713"/>
      <c r="K23" s="713"/>
      <c r="L23" s="713"/>
      <c r="M23" s="713"/>
      <c r="N23" s="713">
        <v>0</v>
      </c>
      <c r="O23" s="713"/>
      <c r="P23" s="713">
        <v>1</v>
      </c>
      <c r="Q23" s="713">
        <v>0</v>
      </c>
      <c r="R23" s="713">
        <f>AH24/AG24</f>
        <v>0</v>
      </c>
      <c r="S23" s="713">
        <f>1-R23</f>
        <v>1</v>
      </c>
      <c r="T23" s="713">
        <f>$R23</f>
        <v>0</v>
      </c>
      <c r="U23" s="713">
        <f>$S23</f>
        <v>1</v>
      </c>
      <c r="V23" s="713">
        <v>1</v>
      </c>
      <c r="W23" s="713">
        <f>AI24/AG24</f>
        <v>0</v>
      </c>
      <c r="X23" s="713">
        <v>0</v>
      </c>
      <c r="Y23" s="713">
        <f>W23</f>
        <v>0</v>
      </c>
      <c r="Z23" s="713">
        <f>AJ24/AG24</f>
        <v>0</v>
      </c>
      <c r="AA23" s="713">
        <f>$Z23</f>
        <v>0</v>
      </c>
      <c r="AB23" s="713">
        <f>$AA23</f>
        <v>0</v>
      </c>
      <c r="AC23" s="713">
        <f>$AA23</f>
        <v>0</v>
      </c>
      <c r="AD23" s="758"/>
      <c r="AE23" s="904"/>
      <c r="AF23" s="905"/>
      <c r="AG23" s="839"/>
      <c r="AH23" s="832"/>
      <c r="AI23" s="711"/>
      <c r="AJ23" s="712"/>
      <c r="AL23" s="232"/>
      <c r="AM23" s="233"/>
      <c r="AZ23" s="227"/>
    </row>
    <row r="24" spans="1:52" x14ac:dyDescent="0.25">
      <c r="A24" s="159"/>
      <c r="B24" s="666"/>
      <c r="C24" s="671" t="s">
        <v>587</v>
      </c>
      <c r="D24" s="739">
        <f>D22*D23</f>
        <v>0</v>
      </c>
      <c r="E24" s="740">
        <f t="shared" ref="E24:G24" si="19">E22*E23</f>
        <v>0</v>
      </c>
      <c r="F24" s="740">
        <f t="shared" si="19"/>
        <v>2</v>
      </c>
      <c r="G24" s="740">
        <f t="shared" si="19"/>
        <v>16</v>
      </c>
      <c r="H24" s="740"/>
      <c r="I24" s="740"/>
      <c r="J24" s="740"/>
      <c r="K24" s="740"/>
      <c r="L24" s="740"/>
      <c r="M24" s="740"/>
      <c r="N24" s="740">
        <f t="shared" ref="N24" si="20">N22*N23</f>
        <v>0</v>
      </c>
      <c r="O24" s="740"/>
      <c r="P24" s="740">
        <f t="shared" ref="P24:AC24" si="21">P22*P23</f>
        <v>4</v>
      </c>
      <c r="Q24" s="740">
        <f t="shared" si="21"/>
        <v>0</v>
      </c>
      <c r="R24" s="740">
        <f t="shared" si="21"/>
        <v>0</v>
      </c>
      <c r="S24" s="740">
        <f t="shared" si="21"/>
        <v>40</v>
      </c>
      <c r="T24" s="740">
        <f t="shared" si="21"/>
        <v>0</v>
      </c>
      <c r="U24" s="740">
        <f t="shared" si="21"/>
        <v>0</v>
      </c>
      <c r="V24" s="740">
        <f t="shared" si="21"/>
        <v>4</v>
      </c>
      <c r="W24" s="740">
        <f t="shared" si="21"/>
        <v>0</v>
      </c>
      <c r="X24" s="740">
        <f t="shared" si="21"/>
        <v>0</v>
      </c>
      <c r="Y24" s="740">
        <f t="shared" si="21"/>
        <v>0</v>
      </c>
      <c r="Z24" s="740">
        <f t="shared" si="21"/>
        <v>0</v>
      </c>
      <c r="AA24" s="740">
        <f t="shared" si="21"/>
        <v>0</v>
      </c>
      <c r="AB24" s="740">
        <f t="shared" si="21"/>
        <v>0</v>
      </c>
      <c r="AC24" s="740">
        <f t="shared" si="21"/>
        <v>0</v>
      </c>
      <c r="AD24" s="760">
        <f>SUM(D24:AC24)</f>
        <v>66</v>
      </c>
      <c r="AE24" s="904">
        <v>4</v>
      </c>
      <c r="AF24" s="905">
        <v>0</v>
      </c>
      <c r="AG24" s="839">
        <f>SUM(AE24:AF24)</f>
        <v>4</v>
      </c>
      <c r="AH24" s="832">
        <v>0</v>
      </c>
      <c r="AI24" s="711">
        <v>0</v>
      </c>
      <c r="AJ24" s="712">
        <f>ROUND(AI24/SUM(AI$7:AI$12,AI$21)*19,0)</f>
        <v>0</v>
      </c>
      <c r="AL24" s="232"/>
      <c r="AM24" s="233"/>
      <c r="AZ24" s="227"/>
    </row>
    <row r="25" spans="1:52" ht="15.75" thickBot="1" x14ac:dyDescent="0.3">
      <c r="A25" s="159"/>
      <c r="B25" s="741"/>
      <c r="C25" s="742" t="s">
        <v>588</v>
      </c>
      <c r="D25" s="743"/>
      <c r="E25" s="743"/>
      <c r="F25" s="743"/>
      <c r="G25" s="744"/>
      <c r="H25" s="744"/>
      <c r="I25" s="744"/>
      <c r="J25" s="744"/>
      <c r="K25" s="744"/>
      <c r="L25" s="744"/>
      <c r="M25" s="744"/>
      <c r="N25" s="744"/>
      <c r="O25" s="744"/>
      <c r="P25" s="744"/>
      <c r="Q25" s="744"/>
      <c r="R25" s="744"/>
      <c r="S25" s="744"/>
      <c r="T25" s="744"/>
      <c r="U25" s="744"/>
      <c r="V25" s="744"/>
      <c r="W25" s="744"/>
      <c r="X25" s="744"/>
      <c r="Y25" s="744"/>
      <c r="Z25" s="744"/>
      <c r="AA25" s="744"/>
      <c r="AB25" s="744"/>
      <c r="AC25" s="744"/>
      <c r="AD25" s="761"/>
      <c r="AE25" s="765">
        <f>598-136-SUM(AE7:AE24)</f>
        <v>0</v>
      </c>
      <c r="AF25" s="913">
        <v>0</v>
      </c>
      <c r="AG25" s="914">
        <f>SUM(AE25:AF25)</f>
        <v>0</v>
      </c>
      <c r="AH25" s="915">
        <v>0</v>
      </c>
      <c r="AI25" s="916">
        <v>0</v>
      </c>
      <c r="AJ25" s="917">
        <f t="shared" ref="AJ25" si="22">ROUND(AG25/AG$6*19,0)</f>
        <v>0</v>
      </c>
    </row>
    <row r="26" spans="1:52" x14ac:dyDescent="0.25">
      <c r="A26" s="159"/>
      <c r="B26" s="657" t="s">
        <v>533</v>
      </c>
      <c r="C26" s="658" t="s">
        <v>514</v>
      </c>
      <c r="D26" s="662">
        <f t="shared" ref="D26:G26" si="23">D29*$AG29/($AG26-$AG48)+D32*$AG32/2/($AG26-$AG48)+D35*$AG32/2/($AG26-$AG48)+D38*$AG38/($AG26-$AG48)+D41*$AG41/2/($AG26-$AG48)+D44*$AG41/2/($AG26-$AG48)+D47*$AG47/($AG26-$AG48)</f>
        <v>0</v>
      </c>
      <c r="E26" s="662">
        <f t="shared" si="23"/>
        <v>0</v>
      </c>
      <c r="F26" s="662">
        <f t="shared" si="23"/>
        <v>0</v>
      </c>
      <c r="G26" s="661">
        <f t="shared" si="23"/>
        <v>9.1786542923433867</v>
      </c>
      <c r="H26" s="729"/>
      <c r="I26" s="729"/>
      <c r="J26" s="729"/>
      <c r="K26" s="729"/>
      <c r="L26" s="661">
        <f t="shared" ref="L26:N26" si="24">L29*$AG29/($AG26-$AG48)+L32*$AG32/2/($AG26-$AG48)+L35*$AG32/2/($AG26-$AG48)+L38*$AG38/($AG26-$AG48)+L41*$AG41/2/($AG26-$AG48)+L44*$AG41/2/($AG26-$AG48)+L47*$AG47/($AG26-$AG48)</f>
        <v>0.25000000000000006</v>
      </c>
      <c r="M26" s="662">
        <f t="shared" si="24"/>
        <v>3.3201856148491879</v>
      </c>
      <c r="N26" s="662">
        <f t="shared" si="24"/>
        <v>0</v>
      </c>
      <c r="O26" s="662"/>
      <c r="P26" s="662">
        <f>P29*$AG29/($AG26-$AG48)+P32*$AG32/2/($AG26-$AG48)+P35*$AG32/2/($AG26-$AG48)+P38*$AG38/($AG26-$AG48)+P41*$AG41/2/($AG26-$AG48)+P44*$AG41/2/($AG26-$AG48)+P47*$AG47/($AG26-$AG48)</f>
        <v>1.0000000000000002</v>
      </c>
      <c r="Q26" s="662">
        <f t="shared" ref="Q26:AC26" si="25">Q29*$AG29/($AG26-$AG48)+Q32*$AG32/2/($AG26-$AG48)+Q35*$AG32/2/($AG26-$AG48)+Q38*$AG38/($AG26-$AG48)+Q41*$AG41/2/($AG26-$AG48)+Q44*$AG41/2/($AG26-$AG48)+Q47*$AG47/($AG26-$AG48)</f>
        <v>0</v>
      </c>
      <c r="R26" s="662">
        <f t="shared" si="25"/>
        <v>3.6241299303944312</v>
      </c>
      <c r="S26" s="662">
        <f t="shared" si="25"/>
        <v>13.857308584686773</v>
      </c>
      <c r="T26" s="662">
        <f t="shared" si="25"/>
        <v>1.2436194895591646</v>
      </c>
      <c r="U26" s="662">
        <f t="shared" si="25"/>
        <v>6.7563805104408354</v>
      </c>
      <c r="V26" s="662">
        <f t="shared" si="25"/>
        <v>0.74013921113689107</v>
      </c>
      <c r="W26" s="662">
        <f t="shared" si="25"/>
        <v>0.27842227378190254</v>
      </c>
      <c r="X26" s="662">
        <f t="shared" si="25"/>
        <v>0</v>
      </c>
      <c r="Y26" s="662">
        <f t="shared" si="25"/>
        <v>2.2273781902552203</v>
      </c>
      <c r="Z26" s="662">
        <f t="shared" si="25"/>
        <v>3.9443155452436193E-2</v>
      </c>
      <c r="AA26" s="662">
        <f t="shared" si="25"/>
        <v>7.8886310904872387E-2</v>
      </c>
      <c r="AB26" s="662">
        <f t="shared" si="25"/>
        <v>0.56612529002320178</v>
      </c>
      <c r="AC26" s="662">
        <f t="shared" si="25"/>
        <v>1.2064965197215776</v>
      </c>
      <c r="AD26" s="762">
        <f>SUM(D26:AC26)</f>
        <v>44.367169373549878</v>
      </c>
      <c r="AE26" s="766">
        <f t="shared" ref="AE26:AJ26" si="26">SUM(AE27:AE48)</f>
        <v>537</v>
      </c>
      <c r="AF26" s="918">
        <f t="shared" si="26"/>
        <v>0</v>
      </c>
      <c r="AG26" s="841">
        <f t="shared" si="26"/>
        <v>537</v>
      </c>
      <c r="AH26" s="834">
        <f t="shared" si="26"/>
        <v>104</v>
      </c>
      <c r="AI26" s="664">
        <f t="shared" si="26"/>
        <v>93</v>
      </c>
      <c r="AJ26" s="688">
        <f t="shared" si="26"/>
        <v>19</v>
      </c>
      <c r="AL26" s="232"/>
      <c r="AM26"/>
      <c r="AZ26" s="227"/>
    </row>
    <row r="27" spans="1:52" ht="30.6" customHeight="1" x14ac:dyDescent="0.25">
      <c r="A27" s="159">
        <f ca="1">OFFSET(A27,-5,0)+1</f>
        <v>7</v>
      </c>
      <c r="B27" s="668" t="str">
        <f ca="1">"Meranie č. "&amp;A27</f>
        <v>Meranie č. 7</v>
      </c>
      <c r="C27" s="671" t="s">
        <v>599</v>
      </c>
      <c r="D27" s="709">
        <v>0</v>
      </c>
      <c r="E27" s="669">
        <v>0</v>
      </c>
      <c r="F27" s="669">
        <v>0</v>
      </c>
      <c r="G27" s="669">
        <v>12</v>
      </c>
      <c r="H27" s="669" t="s">
        <v>555</v>
      </c>
      <c r="I27" s="669" t="s">
        <v>555</v>
      </c>
      <c r="J27" s="669" t="s">
        <v>555</v>
      </c>
      <c r="K27" s="669" t="s">
        <v>555</v>
      </c>
      <c r="L27" s="669">
        <v>1</v>
      </c>
      <c r="M27" s="669">
        <v>4</v>
      </c>
      <c r="N27" s="669">
        <v>0</v>
      </c>
      <c r="O27" s="669" t="s">
        <v>559</v>
      </c>
      <c r="P27" s="669">
        <v>1</v>
      </c>
      <c r="Q27" s="669">
        <v>0</v>
      </c>
      <c r="R27" s="669">
        <v>26</v>
      </c>
      <c r="S27" s="669">
        <v>26</v>
      </c>
      <c r="T27" s="669">
        <v>8</v>
      </c>
      <c r="U27" s="669">
        <v>8</v>
      </c>
      <c r="V27" s="669">
        <v>0.5</v>
      </c>
      <c r="W27" s="669">
        <v>2</v>
      </c>
      <c r="X27" s="669">
        <v>0</v>
      </c>
      <c r="Y27" s="669">
        <v>16</v>
      </c>
      <c r="Z27" s="669">
        <v>1</v>
      </c>
      <c r="AA27" s="669">
        <v>2</v>
      </c>
      <c r="AB27" s="669">
        <v>20</v>
      </c>
      <c r="AC27" s="669">
        <v>40</v>
      </c>
      <c r="AD27" s="757">
        <f>SUM(D27:AC27)</f>
        <v>167.5</v>
      </c>
      <c r="AE27" s="764"/>
      <c r="AF27" s="903"/>
      <c r="AG27" s="838"/>
      <c r="AH27" s="830"/>
      <c r="AI27" s="670"/>
      <c r="AJ27" s="689"/>
      <c r="AL27" s="232"/>
      <c r="AZ27" s="227"/>
    </row>
    <row r="28" spans="1:52" x14ac:dyDescent="0.25">
      <c r="A28" s="159"/>
      <c r="B28" s="666"/>
      <c r="C28" s="650" t="s">
        <v>520</v>
      </c>
      <c r="D28" s="710">
        <v>0</v>
      </c>
      <c r="E28" s="713">
        <v>0</v>
      </c>
      <c r="F28" s="713">
        <v>0</v>
      </c>
      <c r="G28" s="713">
        <v>1</v>
      </c>
      <c r="H28" s="713"/>
      <c r="I28" s="713"/>
      <c r="J28" s="713"/>
      <c r="K28" s="713"/>
      <c r="L28" s="713">
        <v>0.25</v>
      </c>
      <c r="M28" s="713">
        <v>0.75</v>
      </c>
      <c r="N28" s="713">
        <v>0</v>
      </c>
      <c r="O28" s="713"/>
      <c r="P28" s="713">
        <v>1</v>
      </c>
      <c r="Q28" s="713">
        <v>0</v>
      </c>
      <c r="R28" s="713">
        <f>AH29/AG29</f>
        <v>0.34285714285714286</v>
      </c>
      <c r="S28" s="713">
        <f>1-R28</f>
        <v>0.65714285714285714</v>
      </c>
      <c r="T28" s="713">
        <f>$R28</f>
        <v>0.34285714285714286</v>
      </c>
      <c r="U28" s="713">
        <f>$S28</f>
        <v>0.65714285714285714</v>
      </c>
      <c r="V28" s="713">
        <v>1</v>
      </c>
      <c r="W28" s="713">
        <f>AI29/AG29</f>
        <v>0.31428571428571428</v>
      </c>
      <c r="X28" s="713">
        <v>0</v>
      </c>
      <c r="Y28" s="713">
        <f>W28</f>
        <v>0.31428571428571428</v>
      </c>
      <c r="Z28" s="713">
        <f>AJ29/AG29</f>
        <v>5.7142857142857141E-2</v>
      </c>
      <c r="AA28" s="713">
        <f>$Z28</f>
        <v>5.7142857142857141E-2</v>
      </c>
      <c r="AB28" s="713">
        <f>$AA28</f>
        <v>5.7142857142857141E-2</v>
      </c>
      <c r="AC28" s="713">
        <f>$AA28</f>
        <v>5.7142857142857141E-2</v>
      </c>
      <c r="AD28" s="758"/>
      <c r="AE28" s="904"/>
      <c r="AF28" s="905"/>
      <c r="AG28" s="839"/>
      <c r="AH28" s="832"/>
      <c r="AI28" s="711"/>
      <c r="AJ28" s="712"/>
      <c r="AL28" s="232"/>
      <c r="AM28" s="233"/>
      <c r="AZ28" s="227"/>
    </row>
    <row r="29" spans="1:52" x14ac:dyDescent="0.25">
      <c r="A29" s="159"/>
      <c r="B29" s="231"/>
      <c r="C29" s="650" t="s">
        <v>587</v>
      </c>
      <c r="D29" s="714">
        <f>D27*D28</f>
        <v>0</v>
      </c>
      <c r="E29" s="715">
        <f t="shared" ref="E29:G29" si="27">E27*E28</f>
        <v>0</v>
      </c>
      <c r="F29" s="715">
        <f t="shared" si="27"/>
        <v>0</v>
      </c>
      <c r="G29" s="715">
        <f t="shared" si="27"/>
        <v>12</v>
      </c>
      <c r="H29" s="715"/>
      <c r="I29" s="715"/>
      <c r="J29" s="715"/>
      <c r="K29" s="715"/>
      <c r="L29" s="715">
        <f t="shared" ref="L29:N29" si="28">L27*L28</f>
        <v>0.25</v>
      </c>
      <c r="M29" s="715">
        <f t="shared" si="28"/>
        <v>3</v>
      </c>
      <c r="N29" s="715">
        <f t="shared" si="28"/>
        <v>0</v>
      </c>
      <c r="O29" s="715"/>
      <c r="P29" s="715">
        <f t="shared" ref="P29:AC29" si="29">P27*P28</f>
        <v>1</v>
      </c>
      <c r="Q29" s="715">
        <f t="shared" si="29"/>
        <v>0</v>
      </c>
      <c r="R29" s="715">
        <f t="shared" si="29"/>
        <v>8.9142857142857146</v>
      </c>
      <c r="S29" s="715">
        <f t="shared" si="29"/>
        <v>17.085714285714285</v>
      </c>
      <c r="T29" s="715">
        <f t="shared" si="29"/>
        <v>2.7428571428571429</v>
      </c>
      <c r="U29" s="715">
        <f t="shared" si="29"/>
        <v>5.2571428571428571</v>
      </c>
      <c r="V29" s="715">
        <f t="shared" si="29"/>
        <v>0.5</v>
      </c>
      <c r="W29" s="715">
        <f t="shared" si="29"/>
        <v>0.62857142857142856</v>
      </c>
      <c r="X29" s="715">
        <f t="shared" si="29"/>
        <v>0</v>
      </c>
      <c r="Y29" s="715">
        <f t="shared" si="29"/>
        <v>5.0285714285714285</v>
      </c>
      <c r="Z29" s="715">
        <f t="shared" si="29"/>
        <v>5.7142857142857141E-2</v>
      </c>
      <c r="AA29" s="715">
        <f t="shared" si="29"/>
        <v>0.11428571428571428</v>
      </c>
      <c r="AB29" s="715">
        <f t="shared" si="29"/>
        <v>1.1428571428571428</v>
      </c>
      <c r="AC29" s="715">
        <f t="shared" si="29"/>
        <v>2.2857142857142856</v>
      </c>
      <c r="AD29" s="759">
        <f>SUM(D29:AC29)</f>
        <v>60.00714285714286</v>
      </c>
      <c r="AE29" s="906">
        <v>35</v>
      </c>
      <c r="AF29" s="907">
        <v>0</v>
      </c>
      <c r="AG29" s="840">
        <f>SUM(AE29:AF29)</f>
        <v>35</v>
      </c>
      <c r="AH29" s="833">
        <f>-ROUND(AG29/SUM(AG$27:AG$32,AG$48)*SUM(-104,AH$36:AH$47),0)</f>
        <v>12</v>
      </c>
      <c r="AI29" s="716">
        <f>-ROUND(AH29/SUM(AH$27:AH$32,AH$48)*SUM(-93,AI$36:AI$47),0)</f>
        <v>11</v>
      </c>
      <c r="AJ29" s="717">
        <f>-ROUND(AI29/SUM(AI$27:AI$32,AI$48)*SUM(-19,AJ$36:AJ$47),0)</f>
        <v>2</v>
      </c>
      <c r="AL29" s="232"/>
      <c r="AM29" s="233"/>
      <c r="AZ29" s="227"/>
    </row>
    <row r="30" spans="1:52" ht="62.1" customHeight="1" x14ac:dyDescent="0.25">
      <c r="A30" s="159">
        <f ca="1">OFFSET(A30,-3,0)+1</f>
        <v>8</v>
      </c>
      <c r="B30" s="668" t="str">
        <f ca="1">"Meranie č. "&amp;A30</f>
        <v>Meranie č. 8</v>
      </c>
      <c r="C30" s="671" t="s">
        <v>608</v>
      </c>
      <c r="D30" s="709">
        <v>0</v>
      </c>
      <c r="E30" s="669">
        <v>0</v>
      </c>
      <c r="F30" s="669">
        <v>0</v>
      </c>
      <c r="G30" s="669">
        <v>8</v>
      </c>
      <c r="H30" s="669" t="s">
        <v>555</v>
      </c>
      <c r="I30" s="669" t="s">
        <v>555</v>
      </c>
      <c r="J30" s="669" t="s">
        <v>555</v>
      </c>
      <c r="K30" s="669" t="s">
        <v>555</v>
      </c>
      <c r="L30" s="669">
        <v>1</v>
      </c>
      <c r="M30" s="669">
        <v>4</v>
      </c>
      <c r="N30" s="669">
        <v>0</v>
      </c>
      <c r="O30" s="669" t="s">
        <v>559</v>
      </c>
      <c r="P30" s="669">
        <v>1</v>
      </c>
      <c r="Q30" s="669">
        <v>0</v>
      </c>
      <c r="R30" s="669">
        <v>26</v>
      </c>
      <c r="S30" s="669">
        <v>26</v>
      </c>
      <c r="T30" s="669">
        <v>8</v>
      </c>
      <c r="U30" s="669">
        <v>8</v>
      </c>
      <c r="V30" s="669">
        <v>0.5</v>
      </c>
      <c r="W30" s="669">
        <v>2</v>
      </c>
      <c r="X30" s="669">
        <v>0</v>
      </c>
      <c r="Y30" s="669">
        <v>16</v>
      </c>
      <c r="Z30" s="669">
        <v>1</v>
      </c>
      <c r="AA30" s="669">
        <v>2</v>
      </c>
      <c r="AB30" s="669">
        <v>20</v>
      </c>
      <c r="AC30" s="669">
        <v>40</v>
      </c>
      <c r="AD30" s="757">
        <f>SUM(D30:AC30)</f>
        <v>163.5</v>
      </c>
      <c r="AE30" s="764"/>
      <c r="AF30" s="903"/>
      <c r="AG30" s="838"/>
      <c r="AH30" s="830"/>
      <c r="AI30" s="670"/>
      <c r="AJ30" s="689"/>
      <c r="AL30" s="232"/>
      <c r="AZ30" s="227"/>
    </row>
    <row r="31" spans="1:52" x14ac:dyDescent="0.25">
      <c r="A31" s="159"/>
      <c r="B31" s="666"/>
      <c r="C31" s="650" t="s">
        <v>520</v>
      </c>
      <c r="D31" s="710">
        <v>0</v>
      </c>
      <c r="E31" s="713">
        <v>0</v>
      </c>
      <c r="F31" s="713">
        <v>0</v>
      </c>
      <c r="G31" s="713">
        <v>1</v>
      </c>
      <c r="H31" s="713"/>
      <c r="I31" s="713"/>
      <c r="J31" s="713"/>
      <c r="K31" s="713"/>
      <c r="L31" s="713">
        <v>0.25</v>
      </c>
      <c r="M31" s="713">
        <v>0.75</v>
      </c>
      <c r="N31" s="713">
        <v>0</v>
      </c>
      <c r="O31" s="713"/>
      <c r="P31" s="713">
        <v>1</v>
      </c>
      <c r="Q31" s="713">
        <v>0</v>
      </c>
      <c r="R31" s="713">
        <f>AH32/AG32</f>
        <v>0.34965034965034963</v>
      </c>
      <c r="S31" s="713">
        <f>1-R31</f>
        <v>0.65034965034965042</v>
      </c>
      <c r="T31" s="713">
        <f>$R31</f>
        <v>0.34965034965034963</v>
      </c>
      <c r="U31" s="713">
        <f>$S31</f>
        <v>0.65034965034965042</v>
      </c>
      <c r="V31" s="713">
        <v>1</v>
      </c>
      <c r="W31" s="713">
        <f>AI32/AG32</f>
        <v>0.31468531468531469</v>
      </c>
      <c r="X31" s="713">
        <v>0</v>
      </c>
      <c r="Y31" s="713">
        <f>W31</f>
        <v>0.31468531468531469</v>
      </c>
      <c r="Z31" s="713">
        <f>AJ32/AG32</f>
        <v>4.8951048951048952E-2</v>
      </c>
      <c r="AA31" s="713">
        <f>$Z31</f>
        <v>4.8951048951048952E-2</v>
      </c>
      <c r="AB31" s="713">
        <f>$AA31</f>
        <v>4.8951048951048952E-2</v>
      </c>
      <c r="AC31" s="713">
        <f>$AA31</f>
        <v>4.8951048951048952E-2</v>
      </c>
      <c r="AD31" s="758"/>
      <c r="AE31" s="904"/>
      <c r="AF31" s="905"/>
      <c r="AG31" s="839"/>
      <c r="AH31" s="832"/>
      <c r="AI31" s="711"/>
      <c r="AJ31" s="712"/>
      <c r="AL31" s="232"/>
      <c r="AM31" s="233"/>
      <c r="AZ31" s="227"/>
    </row>
    <row r="32" spans="1:52" x14ac:dyDescent="0.25">
      <c r="A32" s="159"/>
      <c r="B32" s="231"/>
      <c r="C32" s="650" t="s">
        <v>587</v>
      </c>
      <c r="D32" s="714">
        <f>D30*D31</f>
        <v>0</v>
      </c>
      <c r="E32" s="715">
        <f t="shared" ref="E32:G32" si="30">E30*E31</f>
        <v>0</v>
      </c>
      <c r="F32" s="715">
        <f t="shared" si="30"/>
        <v>0</v>
      </c>
      <c r="G32" s="715">
        <f t="shared" si="30"/>
        <v>8</v>
      </c>
      <c r="H32" s="715"/>
      <c r="I32" s="715"/>
      <c r="J32" s="715"/>
      <c r="K32" s="715"/>
      <c r="L32" s="715">
        <f t="shared" ref="L32:N32" si="31">L30*L31</f>
        <v>0.25</v>
      </c>
      <c r="M32" s="715">
        <f t="shared" si="31"/>
        <v>3</v>
      </c>
      <c r="N32" s="715">
        <f t="shared" si="31"/>
        <v>0</v>
      </c>
      <c r="O32" s="715"/>
      <c r="P32" s="715">
        <f t="shared" ref="P32:AC32" si="32">P30*P31</f>
        <v>1</v>
      </c>
      <c r="Q32" s="715">
        <f t="shared" si="32"/>
        <v>0</v>
      </c>
      <c r="R32" s="715">
        <f t="shared" si="32"/>
        <v>9.0909090909090899</v>
      </c>
      <c r="S32" s="715">
        <f t="shared" si="32"/>
        <v>16.90909090909091</v>
      </c>
      <c r="T32" s="715">
        <f t="shared" si="32"/>
        <v>2.7972027972027971</v>
      </c>
      <c r="U32" s="715">
        <f t="shared" si="32"/>
        <v>5.2027972027972034</v>
      </c>
      <c r="V32" s="715">
        <f t="shared" si="32"/>
        <v>0.5</v>
      </c>
      <c r="W32" s="715">
        <f t="shared" si="32"/>
        <v>0.62937062937062938</v>
      </c>
      <c r="X32" s="715">
        <f t="shared" si="32"/>
        <v>0</v>
      </c>
      <c r="Y32" s="715">
        <f t="shared" si="32"/>
        <v>5.034965034965035</v>
      </c>
      <c r="Z32" s="715">
        <f t="shared" si="32"/>
        <v>4.8951048951048952E-2</v>
      </c>
      <c r="AA32" s="715">
        <f t="shared" si="32"/>
        <v>9.7902097902097904E-2</v>
      </c>
      <c r="AB32" s="715">
        <f t="shared" si="32"/>
        <v>0.97902097902097907</v>
      </c>
      <c r="AC32" s="715">
        <f t="shared" si="32"/>
        <v>1.9580419580419581</v>
      </c>
      <c r="AD32" s="759">
        <f>SUM(D32:AC32)</f>
        <v>55.498251748251747</v>
      </c>
      <c r="AE32" s="904">
        <v>143</v>
      </c>
      <c r="AF32" s="905">
        <v>0</v>
      </c>
      <c r="AG32" s="839">
        <f>SUM(AE32:AF32)</f>
        <v>143</v>
      </c>
      <c r="AH32" s="832">
        <f>-ROUND(AG32/SUM(AG$27:AG$32,AG$48)*SUM(-104,AH$36:AH$47),0)</f>
        <v>50</v>
      </c>
      <c r="AI32" s="711">
        <f>-ROUND(AH32/SUM(AH$27:AH$32,AH$48)*SUM(-93,AI$36:AI$47),0)</f>
        <v>45</v>
      </c>
      <c r="AJ32" s="712">
        <f>-ROUND(AI32/SUM(AI$27:AI$32,AI$48)*SUM(-19,AJ$36:AJ$47),0)-1</f>
        <v>7</v>
      </c>
      <c r="AL32" s="232"/>
      <c r="AM32" s="233"/>
      <c r="AZ32" s="227"/>
    </row>
    <row r="33" spans="1:52" ht="69.599999999999994" customHeight="1" x14ac:dyDescent="0.25">
      <c r="A33" s="159">
        <f ca="1">OFFSET(A33,-3,0)+1</f>
        <v>9</v>
      </c>
      <c r="B33" s="668" t="str">
        <f ca="1">"Meranie č. "&amp;A33</f>
        <v>Meranie č. 9</v>
      </c>
      <c r="C33" s="671" t="s">
        <v>749</v>
      </c>
      <c r="D33" s="709">
        <v>0</v>
      </c>
      <c r="E33" s="669">
        <v>0</v>
      </c>
      <c r="F33" s="669">
        <v>0</v>
      </c>
      <c r="G33" s="669">
        <v>8</v>
      </c>
      <c r="H33" s="669" t="s">
        <v>555</v>
      </c>
      <c r="I33" s="669" t="s">
        <v>555</v>
      </c>
      <c r="J33" s="669" t="s">
        <v>555</v>
      </c>
      <c r="K33" s="669" t="s">
        <v>555</v>
      </c>
      <c r="L33" s="669">
        <v>1</v>
      </c>
      <c r="M33" s="669">
        <v>4</v>
      </c>
      <c r="N33" s="669">
        <v>0</v>
      </c>
      <c r="O33" s="669" t="s">
        <v>559</v>
      </c>
      <c r="P33" s="669">
        <v>1</v>
      </c>
      <c r="Q33" s="669">
        <v>0</v>
      </c>
      <c r="R33" s="669">
        <v>20</v>
      </c>
      <c r="S33" s="669">
        <v>15</v>
      </c>
      <c r="T33" s="669">
        <v>8</v>
      </c>
      <c r="U33" s="669">
        <v>8</v>
      </c>
      <c r="V33" s="669">
        <v>0.5</v>
      </c>
      <c r="W33" s="669">
        <v>2</v>
      </c>
      <c r="X33" s="669">
        <v>0</v>
      </c>
      <c r="Y33" s="669">
        <v>16</v>
      </c>
      <c r="Z33" s="669">
        <v>1</v>
      </c>
      <c r="AA33" s="669">
        <v>2</v>
      </c>
      <c r="AB33" s="669">
        <v>20</v>
      </c>
      <c r="AC33" s="669">
        <v>40</v>
      </c>
      <c r="AD33" s="757">
        <f>SUM(D33:AC33)</f>
        <v>146.5</v>
      </c>
      <c r="AE33" s="908"/>
      <c r="AF33" s="909"/>
      <c r="AG33" s="910"/>
      <c r="AH33" s="911"/>
      <c r="AI33" s="912"/>
      <c r="AJ33" s="699"/>
      <c r="AL33" s="232"/>
      <c r="AZ33" s="227"/>
    </row>
    <row r="34" spans="1:52" x14ac:dyDescent="0.25">
      <c r="A34" s="159"/>
      <c r="B34" s="666"/>
      <c r="C34" s="650" t="s">
        <v>520</v>
      </c>
      <c r="D34" s="710">
        <v>0</v>
      </c>
      <c r="E34" s="713">
        <v>0</v>
      </c>
      <c r="F34" s="713">
        <v>0</v>
      </c>
      <c r="G34" s="713">
        <v>1</v>
      </c>
      <c r="H34" s="713"/>
      <c r="I34" s="713"/>
      <c r="J34" s="713"/>
      <c r="K34" s="713"/>
      <c r="L34" s="713">
        <v>0.25</v>
      </c>
      <c r="M34" s="713">
        <v>0.75</v>
      </c>
      <c r="N34" s="713">
        <v>0</v>
      </c>
      <c r="O34" s="713"/>
      <c r="P34" s="713">
        <v>1</v>
      </c>
      <c r="Q34" s="713">
        <v>0</v>
      </c>
      <c r="R34" s="713">
        <f>AH32/AG32</f>
        <v>0.34965034965034963</v>
      </c>
      <c r="S34" s="713">
        <f>1-R34</f>
        <v>0.65034965034965042</v>
      </c>
      <c r="T34" s="713">
        <f>$R34</f>
        <v>0.34965034965034963</v>
      </c>
      <c r="U34" s="713">
        <f>$S34</f>
        <v>0.65034965034965042</v>
      </c>
      <c r="V34" s="713">
        <v>1</v>
      </c>
      <c r="W34" s="713">
        <f>AI32/AG32</f>
        <v>0.31468531468531469</v>
      </c>
      <c r="X34" s="713">
        <v>0</v>
      </c>
      <c r="Y34" s="713">
        <f>W34</f>
        <v>0.31468531468531469</v>
      </c>
      <c r="Z34" s="713">
        <f>AJ32/AG32</f>
        <v>4.8951048951048952E-2</v>
      </c>
      <c r="AA34" s="713">
        <f>$Z34</f>
        <v>4.8951048951048952E-2</v>
      </c>
      <c r="AB34" s="713">
        <f>$AA34</f>
        <v>4.8951048951048952E-2</v>
      </c>
      <c r="AC34" s="713">
        <f>$AA34</f>
        <v>4.8951048951048952E-2</v>
      </c>
      <c r="AD34" s="758"/>
      <c r="AE34" s="904"/>
      <c r="AF34" s="905"/>
      <c r="AG34" s="839"/>
      <c r="AH34" s="832"/>
      <c r="AI34" s="711"/>
      <c r="AJ34" s="712"/>
      <c r="AL34" s="232"/>
      <c r="AM34" s="233"/>
      <c r="AZ34" s="227"/>
    </row>
    <row r="35" spans="1:52" x14ac:dyDescent="0.25">
      <c r="A35" s="159"/>
      <c r="B35" s="231"/>
      <c r="C35" s="650" t="s">
        <v>587</v>
      </c>
      <c r="D35" s="714">
        <f>D33*D34</f>
        <v>0</v>
      </c>
      <c r="E35" s="715">
        <f t="shared" ref="E35:G35" si="33">E33*E34</f>
        <v>0</v>
      </c>
      <c r="F35" s="715">
        <f t="shared" si="33"/>
        <v>0</v>
      </c>
      <c r="G35" s="715">
        <f t="shared" si="33"/>
        <v>8</v>
      </c>
      <c r="H35" s="715"/>
      <c r="I35" s="715"/>
      <c r="J35" s="715"/>
      <c r="K35" s="715"/>
      <c r="L35" s="715">
        <f t="shared" ref="L35:N35" si="34">L33*L34</f>
        <v>0.25</v>
      </c>
      <c r="M35" s="715">
        <f t="shared" si="34"/>
        <v>3</v>
      </c>
      <c r="N35" s="715">
        <f t="shared" si="34"/>
        <v>0</v>
      </c>
      <c r="O35" s="715"/>
      <c r="P35" s="715">
        <f t="shared" ref="P35:AC35" si="35">P33*P34</f>
        <v>1</v>
      </c>
      <c r="Q35" s="715">
        <f t="shared" si="35"/>
        <v>0</v>
      </c>
      <c r="R35" s="715">
        <f t="shared" si="35"/>
        <v>6.9930069930069925</v>
      </c>
      <c r="S35" s="715">
        <f t="shared" si="35"/>
        <v>9.7552447552447568</v>
      </c>
      <c r="T35" s="715">
        <f t="shared" si="35"/>
        <v>2.7972027972027971</v>
      </c>
      <c r="U35" s="715">
        <f t="shared" si="35"/>
        <v>5.2027972027972034</v>
      </c>
      <c r="V35" s="715">
        <f t="shared" si="35"/>
        <v>0.5</v>
      </c>
      <c r="W35" s="715">
        <f t="shared" si="35"/>
        <v>0.62937062937062938</v>
      </c>
      <c r="X35" s="715">
        <f t="shared" si="35"/>
        <v>0</v>
      </c>
      <c r="Y35" s="715">
        <f t="shared" si="35"/>
        <v>5.034965034965035</v>
      </c>
      <c r="Z35" s="715">
        <f t="shared" si="35"/>
        <v>4.8951048951048952E-2</v>
      </c>
      <c r="AA35" s="715">
        <f t="shared" si="35"/>
        <v>9.7902097902097904E-2</v>
      </c>
      <c r="AB35" s="715">
        <f t="shared" si="35"/>
        <v>0.97902097902097907</v>
      </c>
      <c r="AC35" s="715">
        <f t="shared" si="35"/>
        <v>1.9580419580419581</v>
      </c>
      <c r="AD35" s="759">
        <f>SUM(D35:AC35)</f>
        <v>46.246503496503493</v>
      </c>
      <c r="AE35" s="906"/>
      <c r="AF35" s="907"/>
      <c r="AG35" s="840"/>
      <c r="AH35" s="833"/>
      <c r="AI35" s="716"/>
      <c r="AJ35" s="717"/>
      <c r="AL35" s="232"/>
      <c r="AM35" s="233"/>
      <c r="AZ35" s="227"/>
    </row>
    <row r="36" spans="1:52" ht="42.6" customHeight="1" x14ac:dyDescent="0.25">
      <c r="A36" s="159">
        <f ca="1">OFFSET(A36,-3,0)+1</f>
        <v>10</v>
      </c>
      <c r="B36" s="668" t="str">
        <f ca="1">"Meranie č. "&amp;A36</f>
        <v>Meranie č. 10</v>
      </c>
      <c r="C36" s="671" t="s">
        <v>600</v>
      </c>
      <c r="D36" s="709">
        <v>0</v>
      </c>
      <c r="E36" s="669">
        <v>0</v>
      </c>
      <c r="F36" s="669">
        <v>0</v>
      </c>
      <c r="G36" s="669">
        <v>8</v>
      </c>
      <c r="H36" s="669" t="s">
        <v>555</v>
      </c>
      <c r="I36" s="669" t="s">
        <v>555</v>
      </c>
      <c r="J36" s="669" t="s">
        <v>555</v>
      </c>
      <c r="K36" s="669" t="s">
        <v>555</v>
      </c>
      <c r="L36" s="669">
        <v>1</v>
      </c>
      <c r="M36" s="669">
        <v>4</v>
      </c>
      <c r="N36" s="669">
        <v>0</v>
      </c>
      <c r="O36" s="669" t="s">
        <v>559</v>
      </c>
      <c r="P36" s="669">
        <v>1</v>
      </c>
      <c r="Q36" s="669">
        <v>0</v>
      </c>
      <c r="R36" s="669">
        <v>20</v>
      </c>
      <c r="S36" s="669">
        <v>15</v>
      </c>
      <c r="T36" s="669">
        <v>8</v>
      </c>
      <c r="U36" s="669">
        <v>8</v>
      </c>
      <c r="V36" s="669">
        <v>1</v>
      </c>
      <c r="W36" s="669">
        <v>2</v>
      </c>
      <c r="X36" s="669">
        <v>0</v>
      </c>
      <c r="Y36" s="669">
        <v>16</v>
      </c>
      <c r="Z36" s="669">
        <v>2</v>
      </c>
      <c r="AA36" s="669">
        <v>4</v>
      </c>
      <c r="AB36" s="669">
        <v>16</v>
      </c>
      <c r="AC36" s="669">
        <v>40</v>
      </c>
      <c r="AD36" s="757">
        <f>SUM(D36:AC36)</f>
        <v>146</v>
      </c>
      <c r="AE36" s="764"/>
      <c r="AF36" s="903"/>
      <c r="AG36" s="838"/>
      <c r="AH36" s="830"/>
      <c r="AI36" s="670"/>
      <c r="AJ36" s="689"/>
      <c r="AL36" s="232"/>
      <c r="AZ36" s="227"/>
    </row>
    <row r="37" spans="1:52" x14ac:dyDescent="0.25">
      <c r="A37" s="159"/>
      <c r="B37" s="666"/>
      <c r="C37" s="650" t="s">
        <v>520</v>
      </c>
      <c r="D37" s="710">
        <v>0</v>
      </c>
      <c r="E37" s="713">
        <v>0</v>
      </c>
      <c r="F37" s="713">
        <v>0</v>
      </c>
      <c r="G37" s="713">
        <v>1</v>
      </c>
      <c r="H37" s="713"/>
      <c r="I37" s="713"/>
      <c r="J37" s="713"/>
      <c r="K37" s="713"/>
      <c r="L37" s="713">
        <v>0.25</v>
      </c>
      <c r="M37" s="713">
        <v>0.75</v>
      </c>
      <c r="N37" s="713">
        <v>0</v>
      </c>
      <c r="O37" s="713"/>
      <c r="P37" s="713">
        <v>1</v>
      </c>
      <c r="Q37" s="713">
        <v>0</v>
      </c>
      <c r="R37" s="713">
        <f>AH38/AG38</f>
        <v>2.9239766081871343E-2</v>
      </c>
      <c r="S37" s="713">
        <f>1-R37</f>
        <v>0.97076023391812871</v>
      </c>
      <c r="T37" s="713">
        <f>$R37</f>
        <v>2.9239766081871343E-2</v>
      </c>
      <c r="U37" s="713">
        <f>$S37</f>
        <v>0.97076023391812871</v>
      </c>
      <c r="V37" s="713">
        <v>1</v>
      </c>
      <c r="W37" s="713">
        <f>AI38/AG38</f>
        <v>2.3391812865497075E-2</v>
      </c>
      <c r="X37" s="713">
        <v>0</v>
      </c>
      <c r="Y37" s="713">
        <f>W37</f>
        <v>2.3391812865497075E-2</v>
      </c>
      <c r="Z37" s="713">
        <f>AJ38/AG38</f>
        <v>2.3391812865497075E-2</v>
      </c>
      <c r="AA37" s="713">
        <f>$Z37</f>
        <v>2.3391812865497075E-2</v>
      </c>
      <c r="AB37" s="713">
        <f>$AA37</f>
        <v>2.3391812865497075E-2</v>
      </c>
      <c r="AC37" s="713">
        <f>$AA37</f>
        <v>2.3391812865497075E-2</v>
      </c>
      <c r="AD37" s="758"/>
      <c r="AE37" s="904"/>
      <c r="AF37" s="905"/>
      <c r="AG37" s="839"/>
      <c r="AH37" s="832"/>
      <c r="AI37" s="711"/>
      <c r="AJ37" s="712"/>
      <c r="AL37" s="232"/>
      <c r="AM37" s="233"/>
      <c r="AZ37" s="227"/>
    </row>
    <row r="38" spans="1:52" x14ac:dyDescent="0.25">
      <c r="A38" s="159"/>
      <c r="B38" s="231"/>
      <c r="C38" s="650" t="s">
        <v>587</v>
      </c>
      <c r="D38" s="714">
        <f>D36*D37</f>
        <v>0</v>
      </c>
      <c r="E38" s="715">
        <f t="shared" ref="E38:G38" si="36">E36*E37</f>
        <v>0</v>
      </c>
      <c r="F38" s="715">
        <f t="shared" si="36"/>
        <v>0</v>
      </c>
      <c r="G38" s="715">
        <f t="shared" si="36"/>
        <v>8</v>
      </c>
      <c r="H38" s="715"/>
      <c r="I38" s="715"/>
      <c r="J38" s="715"/>
      <c r="K38" s="715"/>
      <c r="L38" s="715">
        <f t="shared" ref="L38:N38" si="37">L36*L37</f>
        <v>0.25</v>
      </c>
      <c r="M38" s="715">
        <f t="shared" si="37"/>
        <v>3</v>
      </c>
      <c r="N38" s="715">
        <f t="shared" si="37"/>
        <v>0</v>
      </c>
      <c r="O38" s="715"/>
      <c r="P38" s="715">
        <f t="shared" ref="P38:AC38" si="38">P36*P37</f>
        <v>1</v>
      </c>
      <c r="Q38" s="715">
        <f t="shared" si="38"/>
        <v>0</v>
      </c>
      <c r="R38" s="715">
        <f t="shared" si="38"/>
        <v>0.58479532163742687</v>
      </c>
      <c r="S38" s="715">
        <f t="shared" si="38"/>
        <v>14.561403508771932</v>
      </c>
      <c r="T38" s="715">
        <f t="shared" si="38"/>
        <v>0.23391812865497075</v>
      </c>
      <c r="U38" s="715">
        <f t="shared" si="38"/>
        <v>7.7660818713450297</v>
      </c>
      <c r="V38" s="715">
        <f t="shared" si="38"/>
        <v>1</v>
      </c>
      <c r="W38" s="715">
        <f t="shared" si="38"/>
        <v>4.6783625730994149E-2</v>
      </c>
      <c r="X38" s="715">
        <f t="shared" si="38"/>
        <v>0</v>
      </c>
      <c r="Y38" s="715">
        <f t="shared" si="38"/>
        <v>0.3742690058479532</v>
      </c>
      <c r="Z38" s="715">
        <f t="shared" si="38"/>
        <v>4.6783625730994149E-2</v>
      </c>
      <c r="AA38" s="715">
        <f t="shared" si="38"/>
        <v>9.3567251461988299E-2</v>
      </c>
      <c r="AB38" s="715">
        <f t="shared" si="38"/>
        <v>0.3742690058479532</v>
      </c>
      <c r="AC38" s="715">
        <f t="shared" si="38"/>
        <v>0.93567251461988299</v>
      </c>
      <c r="AD38" s="759">
        <f>SUM(D38:AC38)</f>
        <v>38.267543859649123</v>
      </c>
      <c r="AE38" s="906">
        <v>171</v>
      </c>
      <c r="AF38" s="907">
        <v>0</v>
      </c>
      <c r="AG38" s="840">
        <f>SUM(AE38:AF38)</f>
        <v>171</v>
      </c>
      <c r="AH38" s="833">
        <v>5</v>
      </c>
      <c r="AI38" s="716">
        <v>4</v>
      </c>
      <c r="AJ38" s="717">
        <v>4</v>
      </c>
      <c r="AL38" s="232"/>
      <c r="AM38" s="233"/>
      <c r="AZ38" s="227"/>
    </row>
    <row r="39" spans="1:52" ht="56.45" customHeight="1" x14ac:dyDescent="0.25">
      <c r="A39" s="159">
        <f ca="1">OFFSET(A39,-3,0)+1</f>
        <v>11</v>
      </c>
      <c r="B39" s="668" t="str">
        <f ca="1">"Meranie č. "&amp;A39</f>
        <v>Meranie č. 11</v>
      </c>
      <c r="C39" s="671" t="s">
        <v>601</v>
      </c>
      <c r="D39" s="709">
        <v>0</v>
      </c>
      <c r="E39" s="669">
        <v>0</v>
      </c>
      <c r="F39" s="669">
        <v>0</v>
      </c>
      <c r="G39" s="669">
        <v>8</v>
      </c>
      <c r="H39" s="669" t="s">
        <v>555</v>
      </c>
      <c r="I39" s="669" t="s">
        <v>555</v>
      </c>
      <c r="J39" s="669" t="s">
        <v>555</v>
      </c>
      <c r="K39" s="669" t="s">
        <v>555</v>
      </c>
      <c r="L39" s="669">
        <v>1</v>
      </c>
      <c r="M39" s="669">
        <v>4</v>
      </c>
      <c r="N39" s="669">
        <v>0</v>
      </c>
      <c r="O39" s="669" t="s">
        <v>559</v>
      </c>
      <c r="P39" s="669">
        <v>1</v>
      </c>
      <c r="Q39" s="669">
        <v>0</v>
      </c>
      <c r="R39" s="669">
        <v>26</v>
      </c>
      <c r="S39" s="669">
        <v>8</v>
      </c>
      <c r="T39" s="669">
        <v>8</v>
      </c>
      <c r="U39" s="669">
        <v>8</v>
      </c>
      <c r="V39" s="669">
        <v>1</v>
      </c>
      <c r="W39" s="669">
        <v>2</v>
      </c>
      <c r="X39" s="669">
        <v>0</v>
      </c>
      <c r="Y39" s="669">
        <v>10</v>
      </c>
      <c r="Z39" s="669">
        <v>1</v>
      </c>
      <c r="AA39" s="669">
        <v>2</v>
      </c>
      <c r="AB39" s="669">
        <v>8</v>
      </c>
      <c r="AC39" s="669">
        <v>35</v>
      </c>
      <c r="AD39" s="757">
        <f>SUM(D39:AC39)</f>
        <v>123</v>
      </c>
      <c r="AE39" s="764"/>
      <c r="AF39" s="903"/>
      <c r="AG39" s="838"/>
      <c r="AH39" s="830"/>
      <c r="AI39" s="670"/>
      <c r="AJ39" s="689"/>
      <c r="AL39" s="232"/>
      <c r="AZ39" s="227"/>
    </row>
    <row r="40" spans="1:52" x14ac:dyDescent="0.25">
      <c r="A40" s="159"/>
      <c r="B40" s="666"/>
      <c r="C40" s="650" t="s">
        <v>520</v>
      </c>
      <c r="D40" s="710">
        <v>0</v>
      </c>
      <c r="E40" s="713">
        <v>0</v>
      </c>
      <c r="F40" s="713">
        <v>0</v>
      </c>
      <c r="G40" s="713">
        <v>1</v>
      </c>
      <c r="H40" s="713"/>
      <c r="I40" s="713"/>
      <c r="J40" s="713"/>
      <c r="K40" s="713"/>
      <c r="L40" s="713">
        <v>0.25</v>
      </c>
      <c r="M40" s="713">
        <v>0.75</v>
      </c>
      <c r="N40" s="713">
        <v>0</v>
      </c>
      <c r="O40" s="713"/>
      <c r="P40" s="713">
        <v>1</v>
      </c>
      <c r="Q40" s="713">
        <v>0</v>
      </c>
      <c r="R40" s="713">
        <f>AH41/AG41</f>
        <v>0</v>
      </c>
      <c r="S40" s="713">
        <f>1-R40</f>
        <v>1</v>
      </c>
      <c r="T40" s="713">
        <f>$R40</f>
        <v>0</v>
      </c>
      <c r="U40" s="713">
        <f>$S40</f>
        <v>1</v>
      </c>
      <c r="V40" s="713">
        <v>1</v>
      </c>
      <c r="W40" s="713">
        <f>AI41/AG41</f>
        <v>0</v>
      </c>
      <c r="X40" s="713">
        <v>0</v>
      </c>
      <c r="Y40" s="713">
        <f>W40</f>
        <v>0</v>
      </c>
      <c r="Z40" s="713">
        <f>AJ41/AG41</f>
        <v>0</v>
      </c>
      <c r="AA40" s="713">
        <f>$Z40</f>
        <v>0</v>
      </c>
      <c r="AB40" s="713">
        <f>$AA40</f>
        <v>0</v>
      </c>
      <c r="AC40" s="713">
        <f>$AA40</f>
        <v>0</v>
      </c>
      <c r="AD40" s="758"/>
      <c r="AE40" s="904"/>
      <c r="AF40" s="905"/>
      <c r="AG40" s="839"/>
      <c r="AH40" s="832"/>
      <c r="AI40" s="711"/>
      <c r="AJ40" s="712"/>
      <c r="AL40" s="232"/>
      <c r="AM40" s="233"/>
      <c r="AZ40" s="227"/>
    </row>
    <row r="41" spans="1:52" x14ac:dyDescent="0.25">
      <c r="A41" s="159"/>
      <c r="B41" s="666"/>
      <c r="C41" s="650" t="s">
        <v>587</v>
      </c>
      <c r="D41" s="714">
        <f>D39*D40</f>
        <v>0</v>
      </c>
      <c r="E41" s="715">
        <f t="shared" ref="E41:G41" si="39">E39*E40</f>
        <v>0</v>
      </c>
      <c r="F41" s="715">
        <f t="shared" si="39"/>
        <v>0</v>
      </c>
      <c r="G41" s="715">
        <f t="shared" si="39"/>
        <v>8</v>
      </c>
      <c r="H41" s="715"/>
      <c r="I41" s="715"/>
      <c r="J41" s="715"/>
      <c r="K41" s="715"/>
      <c r="L41" s="715">
        <f t="shared" ref="L41:N41" si="40">L39*L40</f>
        <v>0.25</v>
      </c>
      <c r="M41" s="715">
        <f t="shared" si="40"/>
        <v>3</v>
      </c>
      <c r="N41" s="715">
        <f t="shared" si="40"/>
        <v>0</v>
      </c>
      <c r="O41" s="715"/>
      <c r="P41" s="715">
        <f t="shared" ref="P41:AC41" si="41">P39*P40</f>
        <v>1</v>
      </c>
      <c r="Q41" s="715">
        <f t="shared" si="41"/>
        <v>0</v>
      </c>
      <c r="R41" s="715">
        <f t="shared" si="41"/>
        <v>0</v>
      </c>
      <c r="S41" s="715">
        <f t="shared" si="41"/>
        <v>8</v>
      </c>
      <c r="T41" s="715">
        <f t="shared" si="41"/>
        <v>0</v>
      </c>
      <c r="U41" s="715">
        <f t="shared" si="41"/>
        <v>8</v>
      </c>
      <c r="V41" s="715">
        <f t="shared" si="41"/>
        <v>1</v>
      </c>
      <c r="W41" s="715">
        <f t="shared" si="41"/>
        <v>0</v>
      </c>
      <c r="X41" s="715">
        <f t="shared" si="41"/>
        <v>0</v>
      </c>
      <c r="Y41" s="715">
        <f t="shared" si="41"/>
        <v>0</v>
      </c>
      <c r="Z41" s="715">
        <f t="shared" si="41"/>
        <v>0</v>
      </c>
      <c r="AA41" s="715">
        <f t="shared" si="41"/>
        <v>0</v>
      </c>
      <c r="AB41" s="715">
        <f t="shared" si="41"/>
        <v>0</v>
      </c>
      <c r="AC41" s="715">
        <f t="shared" si="41"/>
        <v>0</v>
      </c>
      <c r="AD41" s="759">
        <f>SUM(D41:AC41)</f>
        <v>29.25</v>
      </c>
      <c r="AE41" s="904">
        <v>36</v>
      </c>
      <c r="AF41" s="905">
        <v>0</v>
      </c>
      <c r="AG41" s="839">
        <f>SUM(AE41:AF41)</f>
        <v>36</v>
      </c>
      <c r="AH41" s="832">
        <v>0</v>
      </c>
      <c r="AI41" s="711">
        <v>0</v>
      </c>
      <c r="AJ41" s="712">
        <v>0</v>
      </c>
      <c r="AL41" s="232"/>
      <c r="AM41" s="233"/>
      <c r="AZ41" s="227"/>
    </row>
    <row r="42" spans="1:52" ht="42.6" customHeight="1" x14ac:dyDescent="0.25">
      <c r="A42" s="159">
        <f ca="1">OFFSET(A42,-3,0)+1</f>
        <v>12</v>
      </c>
      <c r="B42" s="668" t="str">
        <f ca="1">"Meranie č. "&amp;A42</f>
        <v>Meranie č. 12</v>
      </c>
      <c r="C42" s="671" t="s">
        <v>750</v>
      </c>
      <c r="D42" s="709">
        <v>0</v>
      </c>
      <c r="E42" s="669">
        <v>0</v>
      </c>
      <c r="F42" s="669">
        <v>0</v>
      </c>
      <c r="G42" s="669">
        <v>8</v>
      </c>
      <c r="H42" s="669" t="s">
        <v>555</v>
      </c>
      <c r="I42" s="669" t="s">
        <v>555</v>
      </c>
      <c r="J42" s="669" t="s">
        <v>555</v>
      </c>
      <c r="K42" s="669" t="s">
        <v>555</v>
      </c>
      <c r="L42" s="669">
        <v>1</v>
      </c>
      <c r="M42" s="669">
        <v>4</v>
      </c>
      <c r="N42" s="669">
        <v>0</v>
      </c>
      <c r="O42" s="669" t="s">
        <v>559</v>
      </c>
      <c r="P42" s="669">
        <v>1</v>
      </c>
      <c r="Q42" s="669">
        <v>0</v>
      </c>
      <c r="R42" s="669">
        <v>26</v>
      </c>
      <c r="S42" s="669">
        <v>8</v>
      </c>
      <c r="T42" s="669">
        <v>8</v>
      </c>
      <c r="U42" s="669">
        <v>8</v>
      </c>
      <c r="V42" s="669">
        <v>1</v>
      </c>
      <c r="W42" s="669">
        <v>2</v>
      </c>
      <c r="X42" s="669">
        <v>0</v>
      </c>
      <c r="Y42" s="669">
        <v>10</v>
      </c>
      <c r="Z42" s="669">
        <v>1</v>
      </c>
      <c r="AA42" s="669">
        <v>2</v>
      </c>
      <c r="AB42" s="669">
        <v>8</v>
      </c>
      <c r="AC42" s="669">
        <v>35</v>
      </c>
      <c r="AD42" s="757">
        <f>SUM(D42:AC42)</f>
        <v>123</v>
      </c>
      <c r="AE42" s="908"/>
      <c r="AF42" s="909"/>
      <c r="AG42" s="910"/>
      <c r="AH42" s="911"/>
      <c r="AI42" s="912"/>
      <c r="AJ42" s="699"/>
      <c r="AL42" s="232"/>
      <c r="AZ42" s="227"/>
    </row>
    <row r="43" spans="1:52" x14ac:dyDescent="0.25">
      <c r="A43" s="159"/>
      <c r="B43" s="666"/>
      <c r="C43" s="650" t="s">
        <v>520</v>
      </c>
      <c r="D43" s="710">
        <v>0</v>
      </c>
      <c r="E43" s="713">
        <v>0</v>
      </c>
      <c r="F43" s="713">
        <v>0</v>
      </c>
      <c r="G43" s="713">
        <v>1</v>
      </c>
      <c r="H43" s="713"/>
      <c r="I43" s="713"/>
      <c r="J43" s="713"/>
      <c r="K43" s="713"/>
      <c r="L43" s="713">
        <v>0.25</v>
      </c>
      <c r="M43" s="713">
        <v>0.75</v>
      </c>
      <c r="N43" s="713">
        <v>0</v>
      </c>
      <c r="O43" s="713"/>
      <c r="P43" s="713">
        <v>1</v>
      </c>
      <c r="Q43" s="713">
        <v>0</v>
      </c>
      <c r="R43" s="713">
        <f>AH41/AG41</f>
        <v>0</v>
      </c>
      <c r="S43" s="713">
        <f>1-R43</f>
        <v>1</v>
      </c>
      <c r="T43" s="713">
        <f>$R43</f>
        <v>0</v>
      </c>
      <c r="U43" s="713">
        <f>$S43</f>
        <v>1</v>
      </c>
      <c r="V43" s="713">
        <v>1</v>
      </c>
      <c r="W43" s="713">
        <f>AI41/AG41</f>
        <v>0</v>
      </c>
      <c r="X43" s="713">
        <v>0</v>
      </c>
      <c r="Y43" s="713">
        <f>W43</f>
        <v>0</v>
      </c>
      <c r="Z43" s="713">
        <f>AJ41/AG41</f>
        <v>0</v>
      </c>
      <c r="AA43" s="713">
        <f>$Z43</f>
        <v>0</v>
      </c>
      <c r="AB43" s="713">
        <f>$AA43</f>
        <v>0</v>
      </c>
      <c r="AC43" s="713">
        <f>$AA43</f>
        <v>0</v>
      </c>
      <c r="AD43" s="758"/>
      <c r="AE43" s="904"/>
      <c r="AF43" s="905"/>
      <c r="AG43" s="839"/>
      <c r="AH43" s="832"/>
      <c r="AI43" s="711"/>
      <c r="AJ43" s="712"/>
      <c r="AL43" s="232"/>
      <c r="AM43" s="233"/>
      <c r="AZ43" s="227"/>
    </row>
    <row r="44" spans="1:52" x14ac:dyDescent="0.25">
      <c r="A44" s="159"/>
      <c r="B44" s="231"/>
      <c r="C44" s="650" t="s">
        <v>587</v>
      </c>
      <c r="D44" s="714">
        <f>D42*D43</f>
        <v>0</v>
      </c>
      <c r="E44" s="715">
        <f t="shared" ref="E44:G44" si="42">E42*E43</f>
        <v>0</v>
      </c>
      <c r="F44" s="715">
        <f t="shared" si="42"/>
        <v>0</v>
      </c>
      <c r="G44" s="715">
        <f t="shared" si="42"/>
        <v>8</v>
      </c>
      <c r="H44" s="715"/>
      <c r="I44" s="715"/>
      <c r="J44" s="715"/>
      <c r="K44" s="715"/>
      <c r="L44" s="715">
        <f t="shared" ref="L44:N44" si="43">L42*L43</f>
        <v>0.25</v>
      </c>
      <c r="M44" s="715">
        <f t="shared" si="43"/>
        <v>3</v>
      </c>
      <c r="N44" s="715">
        <f t="shared" si="43"/>
        <v>0</v>
      </c>
      <c r="O44" s="715"/>
      <c r="P44" s="715">
        <f t="shared" ref="P44:AC44" si="44">P42*P43</f>
        <v>1</v>
      </c>
      <c r="Q44" s="715">
        <f t="shared" si="44"/>
        <v>0</v>
      </c>
      <c r="R44" s="715">
        <f t="shared" si="44"/>
        <v>0</v>
      </c>
      <c r="S44" s="715">
        <f t="shared" si="44"/>
        <v>8</v>
      </c>
      <c r="T44" s="715">
        <f t="shared" si="44"/>
        <v>0</v>
      </c>
      <c r="U44" s="715">
        <f t="shared" si="44"/>
        <v>8</v>
      </c>
      <c r="V44" s="715">
        <f t="shared" si="44"/>
        <v>1</v>
      </c>
      <c r="W44" s="715">
        <f t="shared" si="44"/>
        <v>0</v>
      </c>
      <c r="X44" s="715">
        <f t="shared" si="44"/>
        <v>0</v>
      </c>
      <c r="Y44" s="715">
        <f t="shared" si="44"/>
        <v>0</v>
      </c>
      <c r="Z44" s="715">
        <f t="shared" si="44"/>
        <v>0</v>
      </c>
      <c r="AA44" s="715">
        <f t="shared" si="44"/>
        <v>0</v>
      </c>
      <c r="AB44" s="715">
        <f t="shared" si="44"/>
        <v>0</v>
      </c>
      <c r="AC44" s="715">
        <f t="shared" si="44"/>
        <v>0</v>
      </c>
      <c r="AD44" s="759">
        <f>SUM(D44:AC44)</f>
        <v>29.25</v>
      </c>
      <c r="AE44" s="906"/>
      <c r="AF44" s="907"/>
      <c r="AG44" s="840"/>
      <c r="AH44" s="833"/>
      <c r="AI44" s="716"/>
      <c r="AJ44" s="717"/>
      <c r="AL44" s="232"/>
      <c r="AM44" s="233"/>
      <c r="AZ44" s="227"/>
    </row>
    <row r="45" spans="1:52" ht="56.45" customHeight="1" x14ac:dyDescent="0.25">
      <c r="A45" s="159">
        <f ca="1">OFFSET(A45,-3,0)+1</f>
        <v>13</v>
      </c>
      <c r="B45" s="668" t="str">
        <f ca="1">"Meranie č. "&amp;A45</f>
        <v>Meranie č. 13</v>
      </c>
      <c r="C45" s="671" t="s">
        <v>602</v>
      </c>
      <c r="D45" s="709">
        <v>0</v>
      </c>
      <c r="E45" s="669">
        <v>0</v>
      </c>
      <c r="F45" s="669">
        <v>0</v>
      </c>
      <c r="G45" s="669">
        <v>16</v>
      </c>
      <c r="H45" s="669" t="s">
        <v>555</v>
      </c>
      <c r="I45" s="669" t="s">
        <v>555</v>
      </c>
      <c r="J45" s="669" t="s">
        <v>555</v>
      </c>
      <c r="K45" s="669" t="s">
        <v>555</v>
      </c>
      <c r="L45" s="669">
        <v>1</v>
      </c>
      <c r="M45" s="669">
        <v>8</v>
      </c>
      <c r="N45" s="669">
        <v>0</v>
      </c>
      <c r="O45" s="669" t="s">
        <v>559</v>
      </c>
      <c r="P45" s="669">
        <v>1</v>
      </c>
      <c r="Q45" s="669">
        <v>0</v>
      </c>
      <c r="R45" s="669">
        <v>16</v>
      </c>
      <c r="S45" s="669">
        <v>15</v>
      </c>
      <c r="T45" s="669">
        <v>8</v>
      </c>
      <c r="U45" s="669">
        <v>8</v>
      </c>
      <c r="V45" s="669">
        <v>0.5</v>
      </c>
      <c r="W45" s="669">
        <v>2</v>
      </c>
      <c r="X45" s="669">
        <v>0</v>
      </c>
      <c r="Y45" s="669">
        <v>16</v>
      </c>
      <c r="Z45" s="669">
        <v>2</v>
      </c>
      <c r="AA45" s="669">
        <v>4</v>
      </c>
      <c r="AB45" s="669">
        <v>16</v>
      </c>
      <c r="AC45" s="669">
        <v>40</v>
      </c>
      <c r="AD45" s="757">
        <f>SUM(D45:AC45)</f>
        <v>153.5</v>
      </c>
      <c r="AE45" s="764"/>
      <c r="AF45" s="903"/>
      <c r="AG45" s="838"/>
      <c r="AH45" s="830"/>
      <c r="AI45" s="670"/>
      <c r="AJ45" s="689"/>
      <c r="AL45" s="232"/>
      <c r="AZ45" s="227"/>
    </row>
    <row r="46" spans="1:52" x14ac:dyDescent="0.25">
      <c r="A46" s="159"/>
      <c r="B46" s="666"/>
      <c r="C46" s="650" t="s">
        <v>520</v>
      </c>
      <c r="D46" s="710">
        <v>0</v>
      </c>
      <c r="E46" s="713">
        <v>0</v>
      </c>
      <c r="F46" s="713">
        <v>0</v>
      </c>
      <c r="G46" s="713">
        <v>1</v>
      </c>
      <c r="H46" s="713"/>
      <c r="I46" s="713"/>
      <c r="J46" s="713"/>
      <c r="K46" s="713"/>
      <c r="L46" s="713">
        <v>0.25</v>
      </c>
      <c r="M46" s="713">
        <v>0.75</v>
      </c>
      <c r="N46" s="713">
        <v>0</v>
      </c>
      <c r="O46" s="713"/>
      <c r="P46" s="713">
        <v>1</v>
      </c>
      <c r="Q46" s="713">
        <v>0</v>
      </c>
      <c r="R46" s="713">
        <f>AH47/AG47</f>
        <v>0</v>
      </c>
      <c r="S46" s="713">
        <f>1-R46</f>
        <v>1</v>
      </c>
      <c r="T46" s="713">
        <f>$R46</f>
        <v>0</v>
      </c>
      <c r="U46" s="713">
        <f>$S46</f>
        <v>1</v>
      </c>
      <c r="V46" s="713">
        <v>1</v>
      </c>
      <c r="W46" s="713">
        <f>AI47/AG47</f>
        <v>0</v>
      </c>
      <c r="X46" s="713">
        <v>0</v>
      </c>
      <c r="Y46" s="713">
        <f>W46</f>
        <v>0</v>
      </c>
      <c r="Z46" s="713">
        <f>AJ47/AG47</f>
        <v>0</v>
      </c>
      <c r="AA46" s="713">
        <f>$Z46</f>
        <v>0</v>
      </c>
      <c r="AB46" s="713">
        <f>$AA46</f>
        <v>0</v>
      </c>
      <c r="AC46" s="713">
        <f>$AA46</f>
        <v>0</v>
      </c>
      <c r="AD46" s="758"/>
      <c r="AE46" s="904"/>
      <c r="AF46" s="905"/>
      <c r="AG46" s="839"/>
      <c r="AH46" s="832"/>
      <c r="AI46" s="711"/>
      <c r="AJ46" s="712"/>
      <c r="AL46" s="232"/>
      <c r="AM46" s="233"/>
      <c r="AZ46" s="227"/>
    </row>
    <row r="47" spans="1:52" x14ac:dyDescent="0.25">
      <c r="A47" s="159"/>
      <c r="B47" s="666"/>
      <c r="C47" s="671" t="s">
        <v>587</v>
      </c>
      <c r="D47" s="739">
        <f>D45*D46</f>
        <v>0</v>
      </c>
      <c r="E47" s="740">
        <f t="shared" ref="E47:G47" si="45">E45*E46</f>
        <v>0</v>
      </c>
      <c r="F47" s="740">
        <f t="shared" si="45"/>
        <v>0</v>
      </c>
      <c r="G47" s="740">
        <f t="shared" si="45"/>
        <v>16</v>
      </c>
      <c r="H47" s="740"/>
      <c r="I47" s="740"/>
      <c r="J47" s="740"/>
      <c r="K47" s="740"/>
      <c r="L47" s="740">
        <f t="shared" ref="L47:N47" si="46">L45*L46</f>
        <v>0.25</v>
      </c>
      <c r="M47" s="740">
        <f t="shared" si="46"/>
        <v>6</v>
      </c>
      <c r="N47" s="740">
        <f t="shared" si="46"/>
        <v>0</v>
      </c>
      <c r="O47" s="740"/>
      <c r="P47" s="740">
        <f t="shared" ref="P47:AC47" si="47">P45*P46</f>
        <v>1</v>
      </c>
      <c r="Q47" s="740">
        <f t="shared" si="47"/>
        <v>0</v>
      </c>
      <c r="R47" s="740">
        <f t="shared" si="47"/>
        <v>0</v>
      </c>
      <c r="S47" s="740">
        <f t="shared" si="47"/>
        <v>15</v>
      </c>
      <c r="T47" s="740">
        <f t="shared" si="47"/>
        <v>0</v>
      </c>
      <c r="U47" s="740">
        <f t="shared" si="47"/>
        <v>8</v>
      </c>
      <c r="V47" s="740">
        <f t="shared" si="47"/>
        <v>0.5</v>
      </c>
      <c r="W47" s="740">
        <f t="shared" si="47"/>
        <v>0</v>
      </c>
      <c r="X47" s="740">
        <f t="shared" si="47"/>
        <v>0</v>
      </c>
      <c r="Y47" s="740">
        <f t="shared" si="47"/>
        <v>0</v>
      </c>
      <c r="Z47" s="740">
        <f t="shared" si="47"/>
        <v>0</v>
      </c>
      <c r="AA47" s="740">
        <f t="shared" si="47"/>
        <v>0</v>
      </c>
      <c r="AB47" s="740">
        <f t="shared" si="47"/>
        <v>0</v>
      </c>
      <c r="AC47" s="740">
        <f t="shared" si="47"/>
        <v>0</v>
      </c>
      <c r="AD47" s="760">
        <f>SUM(D47:AC47)</f>
        <v>46.75</v>
      </c>
      <c r="AE47" s="904">
        <v>46</v>
      </c>
      <c r="AF47" s="905">
        <v>0</v>
      </c>
      <c r="AG47" s="839">
        <f>SUM(AE47:AF47)</f>
        <v>46</v>
      </c>
      <c r="AH47" s="832">
        <v>0</v>
      </c>
      <c r="AI47" s="711">
        <v>0</v>
      </c>
      <c r="AJ47" s="712">
        <v>0</v>
      </c>
      <c r="AL47" s="232"/>
      <c r="AM47" s="233"/>
      <c r="AZ47" s="227"/>
    </row>
    <row r="48" spans="1:52" ht="15.75" thickBot="1" x14ac:dyDescent="0.3">
      <c r="A48" s="159"/>
      <c r="B48" s="741"/>
      <c r="C48" s="742" t="s">
        <v>588</v>
      </c>
      <c r="D48" s="743"/>
      <c r="E48" s="743"/>
      <c r="F48" s="743"/>
      <c r="G48" s="744"/>
      <c r="H48" s="744"/>
      <c r="I48" s="744"/>
      <c r="J48" s="744"/>
      <c r="K48" s="744"/>
      <c r="L48" s="744"/>
      <c r="M48" s="744"/>
      <c r="N48" s="744"/>
      <c r="O48" s="744"/>
      <c r="P48" s="744"/>
      <c r="Q48" s="744"/>
      <c r="R48" s="744"/>
      <c r="S48" s="744"/>
      <c r="T48" s="744"/>
      <c r="U48" s="744"/>
      <c r="V48" s="744"/>
      <c r="W48" s="744"/>
      <c r="X48" s="744"/>
      <c r="Y48" s="744"/>
      <c r="Z48" s="744"/>
      <c r="AA48" s="744"/>
      <c r="AB48" s="744"/>
      <c r="AC48" s="744"/>
      <c r="AD48" s="761"/>
      <c r="AE48" s="765">
        <f>537-SUM(AE27:AE47)</f>
        <v>106</v>
      </c>
      <c r="AF48" s="913">
        <v>0</v>
      </c>
      <c r="AG48" s="914">
        <f>SUM(AE48:AF48)</f>
        <v>106</v>
      </c>
      <c r="AH48" s="915">
        <f>-ROUND(AG48/SUM(AG$27:AG$32,AG$48)*SUM(-104,AH$36:AH$47),0)</f>
        <v>37</v>
      </c>
      <c r="AI48" s="916">
        <f>-ROUND(AH48/SUM(AH$27:AH$32,AH$48)*SUM(-93,AI$36:AI$47),0)</f>
        <v>33</v>
      </c>
      <c r="AJ48" s="917">
        <f>-ROUND(AI48/SUM(AI$27:AI$32,AI$48)*SUM(-19,AJ$36:AJ$47),0)</f>
        <v>6</v>
      </c>
    </row>
    <row r="49" spans="1:52" x14ac:dyDescent="0.25">
      <c r="A49" s="159"/>
      <c r="B49" s="657" t="s">
        <v>534</v>
      </c>
      <c r="C49" s="658" t="s">
        <v>522</v>
      </c>
      <c r="D49" s="662">
        <f t="shared" ref="D49:F49" si="48">D52*$AG52/2/($AG49-$AG71)+D55*$AG52/2/($AG49-$AG71)+D58*$AG58/($AG49-$AG71)+D61*$AG61/($AG49-$AG71)+D64*$AG64/2/($AG49-$AG71)+D67*$AG64/2/($AG49-$AG71)+D70*$AG70/($AG49-$AG71)</f>
        <v>0</v>
      </c>
      <c r="E49" s="662">
        <f t="shared" si="48"/>
        <v>0</v>
      </c>
      <c r="F49" s="662">
        <f t="shared" si="48"/>
        <v>0</v>
      </c>
      <c r="G49" s="661">
        <f>G52*$AG52/2/($AG49-$AG71)+G55*$AG52/2/($AG49-$AG71)+G58*$AG58/($AG49-$AG71)+G61*$AG61/($AG49-$AG71)+G64*$AG64/2/($AG49-$AG71)+G67*$AG64/2/($AG49-$AG71)+G70*$AG70/($AG49-$AG71)</f>
        <v>9.9067599067599055</v>
      </c>
      <c r="H49" s="729"/>
      <c r="I49" s="729"/>
      <c r="J49" s="729"/>
      <c r="K49" s="729"/>
      <c r="L49" s="665">
        <f t="shared" ref="L49:N49" si="49">L52*$AG52/2/($AG49-$AG71)+L55*$AG52/2/($AG49-$AG71)+L58*$AG58/($AG49-$AG71)+L61*$AG61/($AG49-$AG71)+L64*$AG64/2/($AG49-$AG71)+L67*$AG64/2/($AG49-$AG71)+L70*$AG70/($AG49-$AG71)</f>
        <v>0.25058275058275059</v>
      </c>
      <c r="M49" s="662">
        <f t="shared" si="49"/>
        <v>2.2368881118881117</v>
      </c>
      <c r="N49" s="662">
        <f t="shared" si="49"/>
        <v>0</v>
      </c>
      <c r="O49" s="662"/>
      <c r="P49" s="662">
        <f t="shared" ref="P49:AC49" si="50">P52*$AG52/2/($AG49-$AG71)+P55*$AG52/2/($AG49-$AG71)+P58*$AG58/($AG49-$AG71)+P61*$AG61/($AG49-$AG71)+P64*$AG64/2/($AG49-$AG71)+P67*$AG64/2/($AG49-$AG71)+P70*$AG70/($AG49-$AG71)</f>
        <v>10.799533799533799</v>
      </c>
      <c r="Q49" s="662">
        <f t="shared" si="50"/>
        <v>0</v>
      </c>
      <c r="R49" s="662">
        <f t="shared" si="50"/>
        <v>12.159424390638264</v>
      </c>
      <c r="S49" s="662">
        <f t="shared" si="50"/>
        <v>23.71697858981096</v>
      </c>
      <c r="T49" s="662">
        <f t="shared" si="50"/>
        <v>5.6572483393292643</v>
      </c>
      <c r="U49" s="662">
        <f t="shared" si="50"/>
        <v>3.6234285945268607</v>
      </c>
      <c r="V49" s="662">
        <f t="shared" si="50"/>
        <v>0.55011655011655014</v>
      </c>
      <c r="W49" s="662">
        <f t="shared" si="50"/>
        <v>0.19463869463869465</v>
      </c>
      <c r="X49" s="662">
        <f t="shared" si="50"/>
        <v>0</v>
      </c>
      <c r="Y49" s="662">
        <f t="shared" si="50"/>
        <v>2.4988344988344986</v>
      </c>
      <c r="Z49" s="662">
        <f t="shared" si="50"/>
        <v>1.5734265734265736E-2</v>
      </c>
      <c r="AA49" s="662">
        <f t="shared" si="50"/>
        <v>3.2634032634032639E-2</v>
      </c>
      <c r="AB49" s="662">
        <f t="shared" si="50"/>
        <v>0.33566433566433573</v>
      </c>
      <c r="AC49" s="662">
        <f t="shared" si="50"/>
        <v>0.83916083916083906</v>
      </c>
      <c r="AD49" s="762">
        <f>SUM(D49:AC49)</f>
        <v>72.817627699853134</v>
      </c>
      <c r="AE49" s="766">
        <f t="shared" ref="AE49:AJ49" si="51">SUM(AE50:AE71)</f>
        <v>385</v>
      </c>
      <c r="AF49" s="918">
        <f t="shared" si="51"/>
        <v>173</v>
      </c>
      <c r="AG49" s="841">
        <f t="shared" si="51"/>
        <v>558</v>
      </c>
      <c r="AH49" s="834">
        <f t="shared" si="51"/>
        <v>147</v>
      </c>
      <c r="AI49" s="664">
        <f t="shared" si="51"/>
        <v>89</v>
      </c>
      <c r="AJ49" s="688">
        <f t="shared" si="51"/>
        <v>12</v>
      </c>
      <c r="AL49" s="232"/>
      <c r="AM49"/>
      <c r="AZ49" s="227"/>
    </row>
    <row r="50" spans="1:52" ht="42.6" customHeight="1" x14ac:dyDescent="0.25">
      <c r="A50" s="159">
        <f ca="1">OFFSET(A50,-5,0)+1</f>
        <v>14</v>
      </c>
      <c r="B50" s="668" t="str">
        <f ca="1">"Meranie č. "&amp;A50</f>
        <v>Meranie č. 14</v>
      </c>
      <c r="C50" s="671" t="s">
        <v>603</v>
      </c>
      <c r="D50" s="709">
        <v>0</v>
      </c>
      <c r="E50" s="669">
        <v>0.5</v>
      </c>
      <c r="F50" s="669">
        <v>0</v>
      </c>
      <c r="G50" s="669">
        <v>3</v>
      </c>
      <c r="H50" s="669" t="s">
        <v>555</v>
      </c>
      <c r="I50" s="669" t="s">
        <v>555</v>
      </c>
      <c r="J50" s="669" t="s">
        <v>555</v>
      </c>
      <c r="K50" s="669" t="s">
        <v>555</v>
      </c>
      <c r="L50" s="669">
        <v>2</v>
      </c>
      <c r="M50" s="669">
        <v>4</v>
      </c>
      <c r="N50" s="669">
        <v>0</v>
      </c>
      <c r="O50" s="669" t="s">
        <v>559</v>
      </c>
      <c r="P50" s="669">
        <v>8</v>
      </c>
      <c r="Q50" s="669">
        <v>0</v>
      </c>
      <c r="R50" s="669">
        <v>24</v>
      </c>
      <c r="S50" s="669">
        <v>24</v>
      </c>
      <c r="T50" s="669">
        <v>16</v>
      </c>
      <c r="U50" s="669">
        <v>1</v>
      </c>
      <c r="V50" s="669">
        <v>0.5</v>
      </c>
      <c r="W50" s="669">
        <v>1.5</v>
      </c>
      <c r="X50" s="669">
        <v>0</v>
      </c>
      <c r="Y50" s="669">
        <v>16</v>
      </c>
      <c r="Z50" s="669">
        <v>1</v>
      </c>
      <c r="AA50" s="669">
        <v>2</v>
      </c>
      <c r="AB50" s="669">
        <v>16</v>
      </c>
      <c r="AC50" s="669">
        <v>40</v>
      </c>
      <c r="AD50" s="757">
        <f>SUM(D50:AC50)</f>
        <v>159.5</v>
      </c>
      <c r="AE50" s="764"/>
      <c r="AF50" s="903"/>
      <c r="AG50" s="838"/>
      <c r="AH50" s="830"/>
      <c r="AI50" s="670"/>
      <c r="AJ50" s="689"/>
      <c r="AL50" s="232"/>
      <c r="AZ50" s="227"/>
    </row>
    <row r="51" spans="1:52" x14ac:dyDescent="0.25">
      <c r="A51" s="159"/>
      <c r="B51" s="666"/>
      <c r="C51" s="650" t="s">
        <v>520</v>
      </c>
      <c r="D51" s="710">
        <v>0</v>
      </c>
      <c r="E51" s="713">
        <v>0</v>
      </c>
      <c r="F51" s="713">
        <v>0</v>
      </c>
      <c r="G51" s="713">
        <v>1</v>
      </c>
      <c r="H51" s="713"/>
      <c r="I51" s="713"/>
      <c r="J51" s="713"/>
      <c r="K51" s="713"/>
      <c r="L51" s="713">
        <v>0.25</v>
      </c>
      <c r="M51" s="713">
        <v>0.75</v>
      </c>
      <c r="N51" s="713">
        <v>0</v>
      </c>
      <c r="O51" s="713"/>
      <c r="P51" s="713">
        <v>1</v>
      </c>
      <c r="Q51" s="713">
        <v>0</v>
      </c>
      <c r="R51" s="713">
        <f>AH52/AG52</f>
        <v>0.31046276977802101</v>
      </c>
      <c r="S51" s="713">
        <f>1-R51</f>
        <v>0.68953723022197899</v>
      </c>
      <c r="T51" s="713">
        <f>$R51</f>
        <v>0.31046276977802101</v>
      </c>
      <c r="U51" s="713">
        <f>$S51</f>
        <v>0.68953723022197899</v>
      </c>
      <c r="V51" s="713">
        <v>1</v>
      </c>
      <c r="W51" s="713">
        <f>AI52/AG52</f>
        <v>0.1893491124260355</v>
      </c>
      <c r="X51" s="713">
        <v>0</v>
      </c>
      <c r="Y51" s="713">
        <f>W51</f>
        <v>0.1893491124260355</v>
      </c>
      <c r="Z51" s="713">
        <f>AJ52/AG52</f>
        <v>2.9585798816568046E-2</v>
      </c>
      <c r="AA51" s="713">
        <f>$Z51</f>
        <v>2.9585798816568046E-2</v>
      </c>
      <c r="AB51" s="713">
        <f>$AA51</f>
        <v>2.9585798816568046E-2</v>
      </c>
      <c r="AC51" s="713">
        <f>$AA51</f>
        <v>2.9585798816568046E-2</v>
      </c>
      <c r="AD51" s="758"/>
      <c r="AE51" s="904"/>
      <c r="AF51" s="905"/>
      <c r="AG51" s="839"/>
      <c r="AH51" s="832"/>
      <c r="AI51" s="711"/>
      <c r="AJ51" s="712"/>
      <c r="AL51" s="232"/>
      <c r="AM51" s="233"/>
      <c r="AZ51" s="227"/>
    </row>
    <row r="52" spans="1:52" x14ac:dyDescent="0.25">
      <c r="A52" s="159"/>
      <c r="B52" s="231"/>
      <c r="C52" s="650" t="s">
        <v>587</v>
      </c>
      <c r="D52" s="714">
        <f>D50*D51</f>
        <v>0</v>
      </c>
      <c r="E52" s="715">
        <f t="shared" ref="E52:G52" si="52">E50*E51</f>
        <v>0</v>
      </c>
      <c r="F52" s="715">
        <f t="shared" si="52"/>
        <v>0</v>
      </c>
      <c r="G52" s="715">
        <f t="shared" si="52"/>
        <v>3</v>
      </c>
      <c r="H52" s="715"/>
      <c r="I52" s="715"/>
      <c r="J52" s="715"/>
      <c r="K52" s="715"/>
      <c r="L52" s="715">
        <f t="shared" ref="L52:N52" si="53">L50*L51</f>
        <v>0.5</v>
      </c>
      <c r="M52" s="715">
        <f t="shared" si="53"/>
        <v>3</v>
      </c>
      <c r="N52" s="715">
        <f t="shared" si="53"/>
        <v>0</v>
      </c>
      <c r="O52" s="715"/>
      <c r="P52" s="715">
        <f t="shared" ref="P52:AC52" si="54">P50*P51</f>
        <v>8</v>
      </c>
      <c r="Q52" s="715">
        <f t="shared" si="54"/>
        <v>0</v>
      </c>
      <c r="R52" s="715">
        <f t="shared" si="54"/>
        <v>7.4511064746725042</v>
      </c>
      <c r="S52" s="715">
        <f t="shared" si="54"/>
        <v>16.548893525327497</v>
      </c>
      <c r="T52" s="715">
        <f t="shared" si="54"/>
        <v>4.9674043164483361</v>
      </c>
      <c r="U52" s="715">
        <f t="shared" si="54"/>
        <v>0.68953723022197899</v>
      </c>
      <c r="V52" s="715">
        <f t="shared" si="54"/>
        <v>0.5</v>
      </c>
      <c r="W52" s="715">
        <f t="shared" si="54"/>
        <v>0.28402366863905326</v>
      </c>
      <c r="X52" s="715">
        <f t="shared" si="54"/>
        <v>0</v>
      </c>
      <c r="Y52" s="715">
        <f t="shared" si="54"/>
        <v>3.029585798816568</v>
      </c>
      <c r="Z52" s="715">
        <f t="shared" si="54"/>
        <v>2.9585798816568046E-2</v>
      </c>
      <c r="AA52" s="715">
        <f t="shared" si="54"/>
        <v>5.9171597633136092E-2</v>
      </c>
      <c r="AB52" s="715">
        <f t="shared" si="54"/>
        <v>0.47337278106508873</v>
      </c>
      <c r="AC52" s="715">
        <f t="shared" si="54"/>
        <v>1.1834319526627217</v>
      </c>
      <c r="AD52" s="759">
        <f>SUM(D52:AC52)</f>
        <v>49.716113144303456</v>
      </c>
      <c r="AE52" s="904">
        <v>103</v>
      </c>
      <c r="AF52" s="905">
        <f>ROUND(169*AE52/SUM(AE$50:AE$70),0)-1</f>
        <v>66</v>
      </c>
      <c r="AG52" s="839">
        <f>SUM(AE52:AF52)</f>
        <v>169</v>
      </c>
      <c r="AH52" s="832">
        <f>25+(147-75)*AF52/AF$49</f>
        <v>52.468208092485554</v>
      </c>
      <c r="AI52" s="711">
        <f>ROUND(89*AH52/AH$49,0)</f>
        <v>32</v>
      </c>
      <c r="AJ52" s="712">
        <f>ROUND(12*AI52/AI$49,0)+1</f>
        <v>5</v>
      </c>
      <c r="AL52" s="232"/>
      <c r="AM52" s="233"/>
      <c r="AZ52" s="227"/>
    </row>
    <row r="53" spans="1:52" ht="56.1" customHeight="1" x14ac:dyDescent="0.25">
      <c r="A53" s="159">
        <f ca="1">OFFSET(A53,-3,0)+1</f>
        <v>15</v>
      </c>
      <c r="B53" s="668" t="str">
        <f ca="1">"Meranie č. "&amp;A53</f>
        <v>Meranie č. 15</v>
      </c>
      <c r="C53" s="671" t="s">
        <v>751</v>
      </c>
      <c r="D53" s="709">
        <v>0</v>
      </c>
      <c r="E53" s="669">
        <v>0.5</v>
      </c>
      <c r="F53" s="669">
        <v>0</v>
      </c>
      <c r="G53" s="669">
        <v>3</v>
      </c>
      <c r="H53" s="669" t="s">
        <v>555</v>
      </c>
      <c r="I53" s="669" t="s">
        <v>555</v>
      </c>
      <c r="J53" s="669" t="s">
        <v>555</v>
      </c>
      <c r="K53" s="669" t="s">
        <v>555</v>
      </c>
      <c r="L53" s="669">
        <v>0</v>
      </c>
      <c r="M53" s="669">
        <v>1</v>
      </c>
      <c r="N53" s="669">
        <v>0</v>
      </c>
      <c r="O53" s="669" t="s">
        <v>559</v>
      </c>
      <c r="P53" s="669">
        <v>2</v>
      </c>
      <c r="Q53" s="669">
        <v>0</v>
      </c>
      <c r="R53" s="669">
        <v>16</v>
      </c>
      <c r="S53" s="669">
        <v>16</v>
      </c>
      <c r="T53" s="669">
        <v>16</v>
      </c>
      <c r="U53" s="669">
        <v>1</v>
      </c>
      <c r="V53" s="669">
        <v>0.5</v>
      </c>
      <c r="W53" s="669">
        <v>1.5</v>
      </c>
      <c r="X53" s="669">
        <v>0</v>
      </c>
      <c r="Y53" s="669">
        <v>16</v>
      </c>
      <c r="Z53" s="669">
        <v>0.5</v>
      </c>
      <c r="AA53" s="669">
        <v>1</v>
      </c>
      <c r="AB53" s="669">
        <v>16</v>
      </c>
      <c r="AC53" s="669">
        <v>40</v>
      </c>
      <c r="AD53" s="757">
        <f>SUM(D53:AC53)</f>
        <v>131</v>
      </c>
      <c r="AE53" s="908"/>
      <c r="AF53" s="909"/>
      <c r="AG53" s="910"/>
      <c r="AH53" s="911"/>
      <c r="AI53" s="912"/>
      <c r="AJ53" s="699"/>
      <c r="AL53" s="232"/>
      <c r="AZ53" s="227"/>
    </row>
    <row r="54" spans="1:52" x14ac:dyDescent="0.25">
      <c r="A54" s="159"/>
      <c r="B54" s="666"/>
      <c r="C54" s="650" t="s">
        <v>520</v>
      </c>
      <c r="D54" s="710">
        <v>0</v>
      </c>
      <c r="E54" s="713">
        <v>0</v>
      </c>
      <c r="F54" s="713">
        <v>0</v>
      </c>
      <c r="G54" s="713">
        <v>1</v>
      </c>
      <c r="H54" s="713"/>
      <c r="I54" s="713"/>
      <c r="J54" s="713"/>
      <c r="K54" s="713"/>
      <c r="L54" s="713">
        <v>0.25</v>
      </c>
      <c r="M54" s="713">
        <v>0.75</v>
      </c>
      <c r="N54" s="713">
        <v>0</v>
      </c>
      <c r="O54" s="713"/>
      <c r="P54" s="713">
        <v>1</v>
      </c>
      <c r="Q54" s="713">
        <v>0</v>
      </c>
      <c r="R54" s="713">
        <f>AH52/AG52</f>
        <v>0.31046276977802101</v>
      </c>
      <c r="S54" s="713">
        <f>1-R54</f>
        <v>0.68953723022197899</v>
      </c>
      <c r="T54" s="713">
        <f>$R54</f>
        <v>0.31046276977802101</v>
      </c>
      <c r="U54" s="713">
        <f>$S54</f>
        <v>0.68953723022197899</v>
      </c>
      <c r="V54" s="713">
        <v>1</v>
      </c>
      <c r="W54" s="713">
        <f>AI52/AG52</f>
        <v>0.1893491124260355</v>
      </c>
      <c r="X54" s="713">
        <v>0</v>
      </c>
      <c r="Y54" s="713">
        <f>W54</f>
        <v>0.1893491124260355</v>
      </c>
      <c r="Z54" s="713">
        <f>AJ52/AG52</f>
        <v>2.9585798816568046E-2</v>
      </c>
      <c r="AA54" s="713">
        <f>$Z54</f>
        <v>2.9585798816568046E-2</v>
      </c>
      <c r="AB54" s="713">
        <f>$AA54</f>
        <v>2.9585798816568046E-2</v>
      </c>
      <c r="AC54" s="713">
        <f>$AA54</f>
        <v>2.9585798816568046E-2</v>
      </c>
      <c r="AD54" s="758"/>
      <c r="AE54" s="904"/>
      <c r="AF54" s="905"/>
      <c r="AG54" s="839"/>
      <c r="AH54" s="832"/>
      <c r="AI54" s="711"/>
      <c r="AJ54" s="712"/>
      <c r="AL54" s="232"/>
      <c r="AM54" s="233"/>
      <c r="AZ54" s="227"/>
    </row>
    <row r="55" spans="1:52" x14ac:dyDescent="0.25">
      <c r="A55" s="159"/>
      <c r="B55" s="231"/>
      <c r="C55" s="650" t="s">
        <v>587</v>
      </c>
      <c r="D55" s="714">
        <f>D53*D54</f>
        <v>0</v>
      </c>
      <c r="E55" s="715">
        <f t="shared" ref="E55:G55" si="55">E53*E54</f>
        <v>0</v>
      </c>
      <c r="F55" s="715">
        <f t="shared" si="55"/>
        <v>0</v>
      </c>
      <c r="G55" s="715">
        <f t="shared" si="55"/>
        <v>3</v>
      </c>
      <c r="H55" s="715"/>
      <c r="I55" s="715"/>
      <c r="J55" s="715"/>
      <c r="K55" s="715"/>
      <c r="L55" s="715">
        <f t="shared" ref="L55:N55" si="56">L53*L54</f>
        <v>0</v>
      </c>
      <c r="M55" s="715">
        <f t="shared" si="56"/>
        <v>0.75</v>
      </c>
      <c r="N55" s="715">
        <f t="shared" si="56"/>
        <v>0</v>
      </c>
      <c r="O55" s="715"/>
      <c r="P55" s="715">
        <f t="shared" ref="P55:AC55" si="57">P53*P54</f>
        <v>2</v>
      </c>
      <c r="Q55" s="715">
        <f t="shared" si="57"/>
        <v>0</v>
      </c>
      <c r="R55" s="715">
        <f t="shared" si="57"/>
        <v>4.9674043164483361</v>
      </c>
      <c r="S55" s="715">
        <f t="shared" si="57"/>
        <v>11.032595683551664</v>
      </c>
      <c r="T55" s="715">
        <f t="shared" si="57"/>
        <v>4.9674043164483361</v>
      </c>
      <c r="U55" s="715">
        <f t="shared" si="57"/>
        <v>0.68953723022197899</v>
      </c>
      <c r="V55" s="715">
        <f t="shared" si="57"/>
        <v>0.5</v>
      </c>
      <c r="W55" s="715">
        <f t="shared" si="57"/>
        <v>0.28402366863905326</v>
      </c>
      <c r="X55" s="715">
        <f t="shared" si="57"/>
        <v>0</v>
      </c>
      <c r="Y55" s="715">
        <f t="shared" si="57"/>
        <v>3.029585798816568</v>
      </c>
      <c r="Z55" s="715">
        <f t="shared" si="57"/>
        <v>1.4792899408284023E-2</v>
      </c>
      <c r="AA55" s="715">
        <f t="shared" si="57"/>
        <v>2.9585798816568046E-2</v>
      </c>
      <c r="AB55" s="715">
        <f t="shared" si="57"/>
        <v>0.47337278106508873</v>
      </c>
      <c r="AC55" s="715">
        <f t="shared" si="57"/>
        <v>1.1834319526627217</v>
      </c>
      <c r="AD55" s="759">
        <f>SUM(D55:AC55)</f>
        <v>32.921734446078602</v>
      </c>
      <c r="AE55" s="906"/>
      <c r="AF55" s="907"/>
      <c r="AG55" s="840"/>
      <c r="AH55" s="833"/>
      <c r="AI55" s="716"/>
      <c r="AJ55" s="717"/>
      <c r="AL55" s="232"/>
      <c r="AM55" s="233"/>
      <c r="AZ55" s="227"/>
    </row>
    <row r="56" spans="1:52" ht="56.1" customHeight="1" x14ac:dyDescent="0.25">
      <c r="A56" s="159">
        <f ca="1">OFFSET(A56,-3,0)+1</f>
        <v>16</v>
      </c>
      <c r="B56" s="668" t="str">
        <f ca="1">"Meranie č. "&amp;A56</f>
        <v>Meranie č. 16</v>
      </c>
      <c r="C56" s="671" t="s">
        <v>604</v>
      </c>
      <c r="D56" s="709">
        <v>0</v>
      </c>
      <c r="E56" s="669">
        <v>0.5</v>
      </c>
      <c r="F56" s="669">
        <v>0</v>
      </c>
      <c r="G56" s="669">
        <v>3</v>
      </c>
      <c r="H56" s="669" t="s">
        <v>555</v>
      </c>
      <c r="I56" s="669" t="s">
        <v>555</v>
      </c>
      <c r="J56" s="669" t="s">
        <v>555</v>
      </c>
      <c r="K56" s="669" t="s">
        <v>555</v>
      </c>
      <c r="L56" s="669">
        <v>0</v>
      </c>
      <c r="M56" s="669">
        <v>0</v>
      </c>
      <c r="N56" s="669">
        <v>0</v>
      </c>
      <c r="O56" s="669" t="s">
        <v>559</v>
      </c>
      <c r="P56" s="669">
        <v>2</v>
      </c>
      <c r="Q56" s="669">
        <v>0</v>
      </c>
      <c r="R56" s="669">
        <v>16</v>
      </c>
      <c r="S56" s="669">
        <v>16</v>
      </c>
      <c r="T56" s="669">
        <v>16</v>
      </c>
      <c r="U56" s="669">
        <v>1</v>
      </c>
      <c r="V56" s="669">
        <v>0.5</v>
      </c>
      <c r="W56" s="669">
        <v>1.5</v>
      </c>
      <c r="X56" s="669">
        <v>0</v>
      </c>
      <c r="Y56" s="669">
        <v>16</v>
      </c>
      <c r="Z56" s="669">
        <v>1</v>
      </c>
      <c r="AA56" s="669">
        <v>0.5</v>
      </c>
      <c r="AB56" s="669">
        <v>16</v>
      </c>
      <c r="AC56" s="669">
        <v>40</v>
      </c>
      <c r="AD56" s="757">
        <f>SUM(D56:AC56)</f>
        <v>130</v>
      </c>
      <c r="AE56" s="764"/>
      <c r="AF56" s="903"/>
      <c r="AG56" s="838"/>
      <c r="AH56" s="830"/>
      <c r="AI56" s="670"/>
      <c r="AJ56" s="689"/>
      <c r="AL56" s="232"/>
      <c r="AZ56" s="227"/>
    </row>
    <row r="57" spans="1:52" x14ac:dyDescent="0.25">
      <c r="A57" s="159"/>
      <c r="B57" s="666"/>
      <c r="C57" s="650" t="s">
        <v>520</v>
      </c>
      <c r="D57" s="710">
        <v>0</v>
      </c>
      <c r="E57" s="713">
        <v>0</v>
      </c>
      <c r="F57" s="713">
        <v>0</v>
      </c>
      <c r="G57" s="713">
        <v>1</v>
      </c>
      <c r="H57" s="713"/>
      <c r="I57" s="713"/>
      <c r="J57" s="713"/>
      <c r="K57" s="713"/>
      <c r="L57" s="713">
        <v>0.25</v>
      </c>
      <c r="M57" s="713">
        <v>0.75</v>
      </c>
      <c r="N57" s="713">
        <v>0</v>
      </c>
      <c r="O57" s="713"/>
      <c r="P57" s="713">
        <v>1</v>
      </c>
      <c r="Q57" s="713">
        <v>0</v>
      </c>
      <c r="R57" s="713">
        <f>AH58/AG58</f>
        <v>0.3886962106615286</v>
      </c>
      <c r="S57" s="713">
        <f>1-R57</f>
        <v>0.6113037893384714</v>
      </c>
      <c r="T57" s="713">
        <f>$R57</f>
        <v>0.3886962106615286</v>
      </c>
      <c r="U57" s="713">
        <f>$S57</f>
        <v>0.6113037893384714</v>
      </c>
      <c r="V57" s="713">
        <v>1</v>
      </c>
      <c r="W57" s="713">
        <f>AI58/AG58</f>
        <v>0.24444444444444444</v>
      </c>
      <c r="X57" s="713">
        <v>0</v>
      </c>
      <c r="Y57" s="713">
        <f>W57</f>
        <v>0.24444444444444444</v>
      </c>
      <c r="Z57" s="713">
        <f>AJ58/AG58</f>
        <v>2.2222222222222223E-2</v>
      </c>
      <c r="AA57" s="713">
        <f>$Z57</f>
        <v>2.2222222222222223E-2</v>
      </c>
      <c r="AB57" s="713">
        <f>$AA57</f>
        <v>2.2222222222222223E-2</v>
      </c>
      <c r="AC57" s="713">
        <f>$AA57</f>
        <v>2.2222222222222223E-2</v>
      </c>
      <c r="AD57" s="758"/>
      <c r="AE57" s="904"/>
      <c r="AF57" s="905"/>
      <c r="AG57" s="839"/>
      <c r="AH57" s="832"/>
      <c r="AI57" s="711"/>
      <c r="AJ57" s="712"/>
      <c r="AL57" s="232"/>
      <c r="AM57" s="233"/>
      <c r="AZ57" s="227"/>
    </row>
    <row r="58" spans="1:52" x14ac:dyDescent="0.25">
      <c r="A58" s="159"/>
      <c r="B58" s="231"/>
      <c r="C58" s="650" t="s">
        <v>587</v>
      </c>
      <c r="D58" s="714">
        <f>D56*D57</f>
        <v>0</v>
      </c>
      <c r="E58" s="715">
        <f t="shared" ref="E58:G58" si="58">E56*E57</f>
        <v>0</v>
      </c>
      <c r="F58" s="715">
        <f t="shared" si="58"/>
        <v>0</v>
      </c>
      <c r="G58" s="715">
        <f t="shared" si="58"/>
        <v>3</v>
      </c>
      <c r="H58" s="715"/>
      <c r="I58" s="715"/>
      <c r="J58" s="715"/>
      <c r="K58" s="715"/>
      <c r="L58" s="715">
        <f t="shared" ref="L58:N58" si="59">L56*L57</f>
        <v>0</v>
      </c>
      <c r="M58" s="715">
        <f t="shared" si="59"/>
        <v>0</v>
      </c>
      <c r="N58" s="715">
        <f t="shared" si="59"/>
        <v>0</v>
      </c>
      <c r="O58" s="715"/>
      <c r="P58" s="715">
        <f t="shared" ref="P58:AC58" si="60">P56*P57</f>
        <v>2</v>
      </c>
      <c r="Q58" s="715">
        <f t="shared" si="60"/>
        <v>0</v>
      </c>
      <c r="R58" s="715">
        <f t="shared" si="60"/>
        <v>6.2191393705844575</v>
      </c>
      <c r="S58" s="715">
        <f t="shared" si="60"/>
        <v>9.7808606294155425</v>
      </c>
      <c r="T58" s="715">
        <f t="shared" si="60"/>
        <v>6.2191393705844575</v>
      </c>
      <c r="U58" s="715">
        <f t="shared" si="60"/>
        <v>0.6113037893384714</v>
      </c>
      <c r="V58" s="715">
        <f t="shared" si="60"/>
        <v>0.5</v>
      </c>
      <c r="W58" s="715">
        <f t="shared" si="60"/>
        <v>0.36666666666666664</v>
      </c>
      <c r="X58" s="715">
        <f t="shared" si="60"/>
        <v>0</v>
      </c>
      <c r="Y58" s="715">
        <f t="shared" si="60"/>
        <v>3.911111111111111</v>
      </c>
      <c r="Z58" s="715">
        <f t="shared" si="60"/>
        <v>2.2222222222222223E-2</v>
      </c>
      <c r="AA58" s="715">
        <f t="shared" si="60"/>
        <v>1.1111111111111112E-2</v>
      </c>
      <c r="AB58" s="715">
        <f t="shared" si="60"/>
        <v>0.35555555555555557</v>
      </c>
      <c r="AC58" s="715">
        <f t="shared" si="60"/>
        <v>0.88888888888888895</v>
      </c>
      <c r="AD58" s="759">
        <f>SUM(D58:AC58)</f>
        <v>33.885998715478486</v>
      </c>
      <c r="AE58" s="906">
        <v>27</v>
      </c>
      <c r="AF58" s="907">
        <f>ROUND(169*AE58/SUM(AE$50:AE$70),0)</f>
        <v>18</v>
      </c>
      <c r="AG58" s="840">
        <f>SUM(AE58:AF58)</f>
        <v>45</v>
      </c>
      <c r="AH58" s="833">
        <f>10+(147-75)*AF58/AF$49</f>
        <v>17.491329479768787</v>
      </c>
      <c r="AI58" s="716">
        <f>ROUND(89*AH58/AH$49,0)</f>
        <v>11</v>
      </c>
      <c r="AJ58" s="717">
        <f>ROUND(12*AI58/AI$49,0)</f>
        <v>1</v>
      </c>
      <c r="AL58" s="232"/>
      <c r="AM58" s="233"/>
      <c r="AZ58" s="227"/>
    </row>
    <row r="59" spans="1:52" ht="56.45" customHeight="1" x14ac:dyDescent="0.25">
      <c r="A59" s="159">
        <f ca="1">OFFSET(A59,-3,0)+1</f>
        <v>17</v>
      </c>
      <c r="B59" s="668" t="str">
        <f t="shared" ref="B59" ca="1" si="61">"Meranie č. "&amp;A59</f>
        <v>Meranie č. 17</v>
      </c>
      <c r="C59" s="671" t="s">
        <v>605</v>
      </c>
      <c r="D59" s="709">
        <v>0</v>
      </c>
      <c r="E59" s="669">
        <v>0.5</v>
      </c>
      <c r="F59" s="669">
        <v>0</v>
      </c>
      <c r="G59" s="669">
        <v>3</v>
      </c>
      <c r="H59" s="669" t="s">
        <v>555</v>
      </c>
      <c r="I59" s="669" t="s">
        <v>555</v>
      </c>
      <c r="J59" s="669" t="s">
        <v>555</v>
      </c>
      <c r="K59" s="669" t="s">
        <v>555</v>
      </c>
      <c r="L59" s="669">
        <v>0</v>
      </c>
      <c r="M59" s="669">
        <v>2</v>
      </c>
      <c r="N59" s="669">
        <v>0</v>
      </c>
      <c r="O59" s="669" t="s">
        <v>559</v>
      </c>
      <c r="P59" s="669">
        <v>2</v>
      </c>
      <c r="Q59" s="669">
        <v>0</v>
      </c>
      <c r="R59" s="669">
        <v>16</v>
      </c>
      <c r="S59" s="669">
        <v>13</v>
      </c>
      <c r="T59" s="669">
        <v>0</v>
      </c>
      <c r="U59" s="669">
        <v>1</v>
      </c>
      <c r="V59" s="669">
        <v>0.5</v>
      </c>
      <c r="W59" s="669">
        <v>1.5</v>
      </c>
      <c r="X59" s="669">
        <v>0</v>
      </c>
      <c r="Y59" s="669">
        <v>16</v>
      </c>
      <c r="Z59" s="669">
        <v>1</v>
      </c>
      <c r="AA59" s="669">
        <v>2</v>
      </c>
      <c r="AB59" s="669">
        <v>16</v>
      </c>
      <c r="AC59" s="669">
        <v>40</v>
      </c>
      <c r="AD59" s="757">
        <f>SUM(D59:AC59)</f>
        <v>114.5</v>
      </c>
      <c r="AE59" s="764"/>
      <c r="AF59" s="903"/>
      <c r="AG59" s="838"/>
      <c r="AH59" s="830"/>
      <c r="AI59" s="670"/>
      <c r="AJ59" s="689"/>
      <c r="AL59" s="232"/>
      <c r="AZ59" s="227"/>
    </row>
    <row r="60" spans="1:52" x14ac:dyDescent="0.25">
      <c r="A60" s="159"/>
      <c r="B60" s="666"/>
      <c r="C60" s="650" t="s">
        <v>520</v>
      </c>
      <c r="D60" s="710">
        <v>0</v>
      </c>
      <c r="E60" s="713">
        <v>0</v>
      </c>
      <c r="F60" s="713">
        <v>0</v>
      </c>
      <c r="G60" s="713">
        <v>1</v>
      </c>
      <c r="H60" s="713"/>
      <c r="I60" s="713"/>
      <c r="J60" s="713"/>
      <c r="K60" s="713"/>
      <c r="L60" s="713">
        <v>0.25</v>
      </c>
      <c r="M60" s="713">
        <v>0.75</v>
      </c>
      <c r="N60" s="713">
        <v>0</v>
      </c>
      <c r="O60" s="713"/>
      <c r="P60" s="713">
        <v>1</v>
      </c>
      <c r="Q60" s="713">
        <v>0</v>
      </c>
      <c r="R60" s="713">
        <f>AH61/AG61</f>
        <v>0.29147398843930639</v>
      </c>
      <c r="S60" s="713">
        <f>1-R60</f>
        <v>0.70852601156069361</v>
      </c>
      <c r="T60" s="713">
        <f>$R60</f>
        <v>0.29147398843930639</v>
      </c>
      <c r="U60" s="713">
        <f>$S60</f>
        <v>0.70852601156069361</v>
      </c>
      <c r="V60" s="713">
        <v>1</v>
      </c>
      <c r="W60" s="713">
        <f>AI61/AG61</f>
        <v>0.17499999999999999</v>
      </c>
      <c r="X60" s="713">
        <v>0</v>
      </c>
      <c r="Y60" s="713">
        <f>W60</f>
        <v>0.17499999999999999</v>
      </c>
      <c r="Z60" s="713">
        <f>AJ61/AG61</f>
        <v>2.5000000000000001E-2</v>
      </c>
      <c r="AA60" s="713">
        <f>$Z60</f>
        <v>2.5000000000000001E-2</v>
      </c>
      <c r="AB60" s="713">
        <f>$AA60</f>
        <v>2.5000000000000001E-2</v>
      </c>
      <c r="AC60" s="713">
        <f>$AA60</f>
        <v>2.5000000000000001E-2</v>
      </c>
      <c r="AD60" s="758"/>
      <c r="AE60" s="904"/>
      <c r="AF60" s="905"/>
      <c r="AG60" s="839"/>
      <c r="AH60" s="832"/>
      <c r="AI60" s="711"/>
      <c r="AJ60" s="712"/>
      <c r="AL60" s="232"/>
      <c r="AM60" s="233"/>
      <c r="AZ60" s="227"/>
    </row>
    <row r="61" spans="1:52" x14ac:dyDescent="0.25">
      <c r="A61" s="159"/>
      <c r="B61" s="231"/>
      <c r="C61" s="650" t="s">
        <v>587</v>
      </c>
      <c r="D61" s="714">
        <f>D59*D60</f>
        <v>0</v>
      </c>
      <c r="E61" s="715">
        <f t="shared" ref="E61:G61" si="62">E59*E60</f>
        <v>0</v>
      </c>
      <c r="F61" s="715">
        <f t="shared" si="62"/>
        <v>0</v>
      </c>
      <c r="G61" s="715">
        <f t="shared" si="62"/>
        <v>3</v>
      </c>
      <c r="H61" s="715"/>
      <c r="I61" s="715"/>
      <c r="J61" s="715"/>
      <c r="K61" s="715"/>
      <c r="L61" s="715">
        <f t="shared" ref="L61:N61" si="63">L59*L60</f>
        <v>0</v>
      </c>
      <c r="M61" s="715">
        <f t="shared" si="63"/>
        <v>1.5</v>
      </c>
      <c r="N61" s="715">
        <f t="shared" si="63"/>
        <v>0</v>
      </c>
      <c r="O61" s="715"/>
      <c r="P61" s="715">
        <f t="shared" ref="P61:AC61" si="64">P59*P60</f>
        <v>2</v>
      </c>
      <c r="Q61" s="715">
        <f t="shared" si="64"/>
        <v>0</v>
      </c>
      <c r="R61" s="715">
        <f t="shared" si="64"/>
        <v>4.6635838150289022</v>
      </c>
      <c r="S61" s="715">
        <f t="shared" si="64"/>
        <v>9.2108381502890175</v>
      </c>
      <c r="T61" s="715">
        <f t="shared" si="64"/>
        <v>0</v>
      </c>
      <c r="U61" s="715">
        <f t="shared" si="64"/>
        <v>0.70852601156069361</v>
      </c>
      <c r="V61" s="715">
        <f t="shared" si="64"/>
        <v>0.5</v>
      </c>
      <c r="W61" s="715">
        <f t="shared" si="64"/>
        <v>0.26249999999999996</v>
      </c>
      <c r="X61" s="715">
        <f t="shared" si="64"/>
        <v>0</v>
      </c>
      <c r="Y61" s="715">
        <f t="shared" si="64"/>
        <v>2.8</v>
      </c>
      <c r="Z61" s="715">
        <f t="shared" si="64"/>
        <v>2.5000000000000001E-2</v>
      </c>
      <c r="AA61" s="715">
        <f t="shared" si="64"/>
        <v>0.05</v>
      </c>
      <c r="AB61" s="715">
        <f t="shared" si="64"/>
        <v>0.4</v>
      </c>
      <c r="AC61" s="715">
        <f t="shared" si="64"/>
        <v>1</v>
      </c>
      <c r="AD61" s="759">
        <f>SUM(D61:AC61)</f>
        <v>26.120447976878612</v>
      </c>
      <c r="AE61" s="906">
        <v>24</v>
      </c>
      <c r="AF61" s="907">
        <f>ROUND(169*AE61/SUM(AE$50:AE$70),0)</f>
        <v>16</v>
      </c>
      <c r="AG61" s="840">
        <f>SUM(AE61:AF61)</f>
        <v>40</v>
      </c>
      <c r="AH61" s="833">
        <f>5+(147-75)*AF61/AF$49</f>
        <v>11.658959537572255</v>
      </c>
      <c r="AI61" s="716">
        <f>ROUND(89*AH61/AH$49,0)</f>
        <v>7</v>
      </c>
      <c r="AJ61" s="717">
        <f>ROUND(12*AI61/AI$49,0)</f>
        <v>1</v>
      </c>
      <c r="AL61" s="232"/>
      <c r="AM61" s="233"/>
      <c r="AZ61" s="227"/>
    </row>
    <row r="62" spans="1:52" ht="47.45" customHeight="1" x14ac:dyDescent="0.25">
      <c r="A62" s="159">
        <f ca="1">OFFSET(A62,-3,0)+1</f>
        <v>18</v>
      </c>
      <c r="B62" s="668" t="str">
        <f t="shared" ref="B62" ca="1" si="65">"Meranie č. "&amp;A62</f>
        <v>Meranie č. 18</v>
      </c>
      <c r="C62" s="671" t="s">
        <v>619</v>
      </c>
      <c r="D62" s="709">
        <v>0</v>
      </c>
      <c r="E62" s="669">
        <v>0.5</v>
      </c>
      <c r="F62" s="669">
        <v>0</v>
      </c>
      <c r="G62" s="669">
        <v>24</v>
      </c>
      <c r="H62" s="669" t="s">
        <v>555</v>
      </c>
      <c r="I62" s="669" t="s">
        <v>555</v>
      </c>
      <c r="J62" s="669" t="s">
        <v>555</v>
      </c>
      <c r="K62" s="669">
        <v>8</v>
      </c>
      <c r="L62" s="669">
        <v>2</v>
      </c>
      <c r="M62" s="669">
        <v>0</v>
      </c>
      <c r="N62" s="669">
        <v>0</v>
      </c>
      <c r="O62" s="669" t="s">
        <v>559</v>
      </c>
      <c r="P62" s="669">
        <v>40</v>
      </c>
      <c r="Q62" s="669">
        <v>0</v>
      </c>
      <c r="R62" s="669">
        <v>80</v>
      </c>
      <c r="S62" s="669">
        <v>80</v>
      </c>
      <c r="T62" s="669">
        <v>24</v>
      </c>
      <c r="U62" s="669">
        <v>3</v>
      </c>
      <c r="V62" s="669">
        <v>0.5</v>
      </c>
      <c r="W62" s="669">
        <v>0</v>
      </c>
      <c r="X62" s="669">
        <v>0</v>
      </c>
      <c r="Y62" s="669">
        <v>0</v>
      </c>
      <c r="Z62" s="669">
        <v>0</v>
      </c>
      <c r="AA62" s="669">
        <v>0</v>
      </c>
      <c r="AB62" s="669">
        <v>0</v>
      </c>
      <c r="AC62" s="669">
        <v>0</v>
      </c>
      <c r="AD62" s="757">
        <f>SUM(D62:AC62)</f>
        <v>262</v>
      </c>
      <c r="AE62" s="764"/>
      <c r="AF62" s="903"/>
      <c r="AG62" s="838"/>
      <c r="AH62" s="830"/>
      <c r="AI62" s="670"/>
      <c r="AJ62" s="689"/>
      <c r="AL62" s="232"/>
      <c r="AZ62" s="227"/>
    </row>
    <row r="63" spans="1:52" x14ac:dyDescent="0.25">
      <c r="A63" s="159"/>
      <c r="B63" s="666"/>
      <c r="C63" s="650" t="s">
        <v>520</v>
      </c>
      <c r="D63" s="710">
        <v>0</v>
      </c>
      <c r="E63" s="713">
        <v>0</v>
      </c>
      <c r="F63" s="713">
        <v>0</v>
      </c>
      <c r="G63" s="713">
        <v>1</v>
      </c>
      <c r="H63" s="713"/>
      <c r="I63" s="713"/>
      <c r="J63" s="713"/>
      <c r="K63" s="713"/>
      <c r="L63" s="713">
        <v>0.25</v>
      </c>
      <c r="M63" s="713">
        <v>0.75</v>
      </c>
      <c r="N63" s="713">
        <v>0</v>
      </c>
      <c r="O63" s="713"/>
      <c r="P63" s="713">
        <v>1</v>
      </c>
      <c r="Q63" s="713">
        <v>0</v>
      </c>
      <c r="R63" s="713">
        <f>AH64/AG64</f>
        <v>0.35058475601559347</v>
      </c>
      <c r="S63" s="713">
        <f>1-R63</f>
        <v>0.64941524398440653</v>
      </c>
      <c r="T63" s="713">
        <f>$R63</f>
        <v>0.35058475601559347</v>
      </c>
      <c r="U63" s="713">
        <f>$S63</f>
        <v>0.64941524398440653</v>
      </c>
      <c r="V63" s="713">
        <v>1</v>
      </c>
      <c r="W63" s="713">
        <f>AI64/AG64</f>
        <v>0.20930232558139536</v>
      </c>
      <c r="X63" s="713">
        <v>0</v>
      </c>
      <c r="Y63" s="713">
        <f>W63</f>
        <v>0.20930232558139536</v>
      </c>
      <c r="Z63" s="713">
        <f>AJ64/AG64</f>
        <v>2.3255813953488372E-2</v>
      </c>
      <c r="AA63" s="713">
        <f>$Z63</f>
        <v>2.3255813953488372E-2</v>
      </c>
      <c r="AB63" s="713">
        <f>$AA63</f>
        <v>2.3255813953488372E-2</v>
      </c>
      <c r="AC63" s="713">
        <f>$AA63</f>
        <v>2.3255813953488372E-2</v>
      </c>
      <c r="AD63" s="758"/>
      <c r="AE63" s="904"/>
      <c r="AF63" s="905"/>
      <c r="AG63" s="839"/>
      <c r="AH63" s="832"/>
      <c r="AI63" s="711"/>
      <c r="AJ63" s="712"/>
      <c r="AL63" s="232"/>
      <c r="AM63" s="233"/>
      <c r="AZ63" s="227"/>
    </row>
    <row r="64" spans="1:52" x14ac:dyDescent="0.25">
      <c r="A64" s="159"/>
      <c r="B64" s="666"/>
      <c r="C64" s="650" t="s">
        <v>587</v>
      </c>
      <c r="D64" s="714">
        <f>D62*D63</f>
        <v>0</v>
      </c>
      <c r="E64" s="715">
        <f t="shared" ref="E64:G64" si="66">E62*E63</f>
        <v>0</v>
      </c>
      <c r="F64" s="715">
        <f t="shared" si="66"/>
        <v>0</v>
      </c>
      <c r="G64" s="715">
        <f t="shared" si="66"/>
        <v>24</v>
      </c>
      <c r="H64" s="715"/>
      <c r="I64" s="715"/>
      <c r="J64" s="715"/>
      <c r="K64" s="715"/>
      <c r="L64" s="715">
        <f t="shared" ref="L64:N64" si="67">L62*L63</f>
        <v>0.5</v>
      </c>
      <c r="M64" s="715">
        <f t="shared" si="67"/>
        <v>0</v>
      </c>
      <c r="N64" s="715">
        <f t="shared" si="67"/>
        <v>0</v>
      </c>
      <c r="O64" s="715"/>
      <c r="P64" s="715">
        <f t="shared" ref="P64:AC64" si="68">P62*P63</f>
        <v>40</v>
      </c>
      <c r="Q64" s="715">
        <f t="shared" si="68"/>
        <v>0</v>
      </c>
      <c r="R64" s="715">
        <f t="shared" si="68"/>
        <v>28.046780481247477</v>
      </c>
      <c r="S64" s="715">
        <f t="shared" si="68"/>
        <v>51.953219518752519</v>
      </c>
      <c r="T64" s="715">
        <f t="shared" si="68"/>
        <v>8.4140341443742432</v>
      </c>
      <c r="U64" s="715">
        <f t="shared" si="68"/>
        <v>1.9482457319532196</v>
      </c>
      <c r="V64" s="715">
        <f t="shared" si="68"/>
        <v>0.5</v>
      </c>
      <c r="W64" s="715">
        <f t="shared" si="68"/>
        <v>0</v>
      </c>
      <c r="X64" s="715">
        <f t="shared" si="68"/>
        <v>0</v>
      </c>
      <c r="Y64" s="715">
        <f t="shared" si="68"/>
        <v>0</v>
      </c>
      <c r="Z64" s="715">
        <f t="shared" si="68"/>
        <v>0</v>
      </c>
      <c r="AA64" s="715">
        <f t="shared" si="68"/>
        <v>0</v>
      </c>
      <c r="AB64" s="715">
        <f t="shared" si="68"/>
        <v>0</v>
      </c>
      <c r="AC64" s="715">
        <f t="shared" si="68"/>
        <v>0</v>
      </c>
      <c r="AD64" s="759">
        <f>SUM(D64:AC64)</f>
        <v>155.36227987632748</v>
      </c>
      <c r="AE64" s="904">
        <v>52</v>
      </c>
      <c r="AF64" s="905">
        <f>ROUND(169*AE64/SUM(AE$50:AE$70),0)</f>
        <v>34</v>
      </c>
      <c r="AG64" s="839">
        <f>SUM(AE64:AF64)</f>
        <v>86</v>
      </c>
      <c r="AH64" s="832">
        <f>16+(147-75)*AF64/AF$49</f>
        <v>30.150289017341038</v>
      </c>
      <c r="AI64" s="711">
        <f>ROUND(89*AH64/AH$49,0)</f>
        <v>18</v>
      </c>
      <c r="AJ64" s="712">
        <f>ROUND(12*AI64/AI$49,0)</f>
        <v>2</v>
      </c>
      <c r="AL64" s="232"/>
      <c r="AM64" s="233"/>
      <c r="AZ64" s="227"/>
    </row>
    <row r="65" spans="1:52" ht="42.6" customHeight="1" x14ac:dyDescent="0.25">
      <c r="A65" s="159">
        <f ca="1">OFFSET(A65,-3,0)+1</f>
        <v>19</v>
      </c>
      <c r="B65" s="668" t="str">
        <f t="shared" ref="B65" ca="1" si="69">"Meranie č. "&amp;A65</f>
        <v>Meranie č. 19</v>
      </c>
      <c r="C65" s="671" t="s">
        <v>752</v>
      </c>
      <c r="D65" s="709">
        <v>0</v>
      </c>
      <c r="E65" s="669">
        <v>0.5</v>
      </c>
      <c r="F65" s="669">
        <v>0</v>
      </c>
      <c r="G65" s="669">
        <v>24</v>
      </c>
      <c r="H65" s="669" t="s">
        <v>555</v>
      </c>
      <c r="I65" s="669" t="s">
        <v>555</v>
      </c>
      <c r="J65" s="669" t="s">
        <v>555</v>
      </c>
      <c r="K65" s="669" t="s">
        <v>555</v>
      </c>
      <c r="L65" s="669">
        <v>2</v>
      </c>
      <c r="M65" s="669">
        <v>16</v>
      </c>
      <c r="N65" s="669">
        <v>32</v>
      </c>
      <c r="O65" s="669" t="s">
        <v>746</v>
      </c>
      <c r="P65" s="669">
        <v>40</v>
      </c>
      <c r="Q65" s="669">
        <v>0</v>
      </c>
      <c r="R65" s="669">
        <v>120</v>
      </c>
      <c r="S65" s="669">
        <v>120</v>
      </c>
      <c r="T65" s="669">
        <v>40</v>
      </c>
      <c r="U65" s="669">
        <v>40</v>
      </c>
      <c r="V65" s="669">
        <v>1</v>
      </c>
      <c r="W65" s="669">
        <v>0</v>
      </c>
      <c r="X65" s="669">
        <v>0</v>
      </c>
      <c r="Y65" s="669">
        <v>0</v>
      </c>
      <c r="Z65" s="669">
        <v>0</v>
      </c>
      <c r="AA65" s="669">
        <v>0</v>
      </c>
      <c r="AB65" s="669">
        <v>0</v>
      </c>
      <c r="AC65" s="669">
        <v>0</v>
      </c>
      <c r="AD65" s="757">
        <f>SUM(D65:AC65)</f>
        <v>435.5</v>
      </c>
      <c r="AE65" s="908"/>
      <c r="AF65" s="909"/>
      <c r="AG65" s="910"/>
      <c r="AH65" s="911"/>
      <c r="AI65" s="912"/>
      <c r="AJ65" s="699"/>
      <c r="AL65" s="232"/>
      <c r="AZ65" s="227"/>
    </row>
    <row r="66" spans="1:52" x14ac:dyDescent="0.25">
      <c r="A66" s="159"/>
      <c r="B66" s="666"/>
      <c r="C66" s="650" t="s">
        <v>520</v>
      </c>
      <c r="D66" s="710">
        <v>0</v>
      </c>
      <c r="E66" s="713">
        <v>0</v>
      </c>
      <c r="F66" s="713">
        <v>0</v>
      </c>
      <c r="G66" s="713">
        <v>1</v>
      </c>
      <c r="H66" s="713"/>
      <c r="I66" s="713"/>
      <c r="J66" s="713"/>
      <c r="K66" s="713"/>
      <c r="L66" s="713">
        <v>0.25</v>
      </c>
      <c r="M66" s="713">
        <v>0.75</v>
      </c>
      <c r="N66" s="713">
        <v>0</v>
      </c>
      <c r="O66" s="713"/>
      <c r="P66" s="713">
        <v>1</v>
      </c>
      <c r="Q66" s="713">
        <v>0</v>
      </c>
      <c r="R66" s="713">
        <f>AH64/AG64</f>
        <v>0.35058475601559347</v>
      </c>
      <c r="S66" s="713">
        <f>1-R66</f>
        <v>0.64941524398440653</v>
      </c>
      <c r="T66" s="713">
        <f>$R66</f>
        <v>0.35058475601559347</v>
      </c>
      <c r="U66" s="713">
        <f>$S66</f>
        <v>0.64941524398440653</v>
      </c>
      <c r="V66" s="713">
        <v>1</v>
      </c>
      <c r="W66" s="713">
        <f>AI64/AG64</f>
        <v>0.20930232558139536</v>
      </c>
      <c r="X66" s="713">
        <v>0</v>
      </c>
      <c r="Y66" s="713">
        <f>W66</f>
        <v>0.20930232558139536</v>
      </c>
      <c r="Z66" s="713">
        <f>AJ64/AG64</f>
        <v>2.3255813953488372E-2</v>
      </c>
      <c r="AA66" s="713">
        <f>$Z66</f>
        <v>2.3255813953488372E-2</v>
      </c>
      <c r="AB66" s="713">
        <f>$AA66</f>
        <v>2.3255813953488372E-2</v>
      </c>
      <c r="AC66" s="713">
        <f>$AA66</f>
        <v>2.3255813953488372E-2</v>
      </c>
      <c r="AD66" s="758"/>
      <c r="AE66" s="904"/>
      <c r="AF66" s="905"/>
      <c r="AG66" s="839"/>
      <c r="AH66" s="832"/>
      <c r="AI66" s="711"/>
      <c r="AJ66" s="712"/>
      <c r="AL66" s="232"/>
      <c r="AM66" s="233"/>
      <c r="AZ66" s="227"/>
    </row>
    <row r="67" spans="1:52" x14ac:dyDescent="0.25">
      <c r="A67" s="159"/>
      <c r="B67" s="231"/>
      <c r="C67" s="650" t="s">
        <v>587</v>
      </c>
      <c r="D67" s="714">
        <f>D65*D66</f>
        <v>0</v>
      </c>
      <c r="E67" s="715">
        <f t="shared" ref="E67:G67" si="70">E65*E66</f>
        <v>0</v>
      </c>
      <c r="F67" s="715">
        <f t="shared" si="70"/>
        <v>0</v>
      </c>
      <c r="G67" s="715">
        <f t="shared" si="70"/>
        <v>24</v>
      </c>
      <c r="H67" s="715"/>
      <c r="I67" s="715"/>
      <c r="J67" s="715"/>
      <c r="K67" s="715"/>
      <c r="L67" s="715">
        <f t="shared" ref="L67:N67" si="71">L65*L66</f>
        <v>0.5</v>
      </c>
      <c r="M67" s="715">
        <f t="shared" si="71"/>
        <v>12</v>
      </c>
      <c r="N67" s="715">
        <f t="shared" si="71"/>
        <v>0</v>
      </c>
      <c r="O67" s="715"/>
      <c r="P67" s="715">
        <f t="shared" ref="P67:AC67" si="72">P65*P66</f>
        <v>40</v>
      </c>
      <c r="Q67" s="715">
        <f t="shared" si="72"/>
        <v>0</v>
      </c>
      <c r="R67" s="715">
        <f t="shared" si="72"/>
        <v>42.070170721871214</v>
      </c>
      <c r="S67" s="715">
        <f t="shared" si="72"/>
        <v>77.929829278128778</v>
      </c>
      <c r="T67" s="715">
        <f t="shared" si="72"/>
        <v>14.023390240623739</v>
      </c>
      <c r="U67" s="715">
        <f t="shared" si="72"/>
        <v>25.976609759376259</v>
      </c>
      <c r="V67" s="715">
        <f t="shared" si="72"/>
        <v>1</v>
      </c>
      <c r="W67" s="715">
        <f t="shared" si="72"/>
        <v>0</v>
      </c>
      <c r="X67" s="715">
        <f t="shared" si="72"/>
        <v>0</v>
      </c>
      <c r="Y67" s="715">
        <f t="shared" si="72"/>
        <v>0</v>
      </c>
      <c r="Z67" s="715">
        <f t="shared" si="72"/>
        <v>0</v>
      </c>
      <c r="AA67" s="715">
        <f t="shared" si="72"/>
        <v>0</v>
      </c>
      <c r="AB67" s="715">
        <f t="shared" si="72"/>
        <v>0</v>
      </c>
      <c r="AC67" s="715">
        <f t="shared" si="72"/>
        <v>0</v>
      </c>
      <c r="AD67" s="759">
        <f>SUM(D67:AC67)</f>
        <v>237.5</v>
      </c>
      <c r="AE67" s="906"/>
      <c r="AF67" s="907"/>
      <c r="AG67" s="840"/>
      <c r="AH67" s="833"/>
      <c r="AI67" s="716"/>
      <c r="AJ67" s="717"/>
      <c r="AL67" s="232"/>
      <c r="AM67" s="233"/>
      <c r="AZ67" s="227"/>
    </row>
    <row r="68" spans="1:52" ht="74.099999999999994" customHeight="1" x14ac:dyDescent="0.25">
      <c r="A68" s="159">
        <f ca="1">OFFSET(A68,-3,0)+1</f>
        <v>20</v>
      </c>
      <c r="B68" s="668" t="str">
        <f t="shared" ref="B68" ca="1" si="73">"Meranie č. "&amp;A68</f>
        <v>Meranie č. 20</v>
      </c>
      <c r="C68" s="671" t="s">
        <v>592</v>
      </c>
      <c r="D68" s="709">
        <v>0</v>
      </c>
      <c r="E68" s="669">
        <v>0</v>
      </c>
      <c r="F68" s="669">
        <v>1</v>
      </c>
      <c r="G68" s="669">
        <v>16</v>
      </c>
      <c r="H68" s="669" t="s">
        <v>555</v>
      </c>
      <c r="I68" s="669" t="s">
        <v>555</v>
      </c>
      <c r="J68" s="669" t="s">
        <v>555</v>
      </c>
      <c r="K68" s="669" t="s">
        <v>555</v>
      </c>
      <c r="L68" s="669">
        <v>1</v>
      </c>
      <c r="M68" s="669">
        <v>1</v>
      </c>
      <c r="N68" s="669">
        <v>0</v>
      </c>
      <c r="O68" s="669" t="s">
        <v>559</v>
      </c>
      <c r="P68" s="669">
        <v>2</v>
      </c>
      <c r="Q68" s="669">
        <v>0</v>
      </c>
      <c r="R68" s="669">
        <v>24</v>
      </c>
      <c r="S68" s="669">
        <v>24</v>
      </c>
      <c r="T68" s="669">
        <v>12</v>
      </c>
      <c r="U68" s="669">
        <v>3</v>
      </c>
      <c r="V68" s="669">
        <v>0.5</v>
      </c>
      <c r="W68" s="669">
        <v>0.5</v>
      </c>
      <c r="X68" s="669">
        <v>0</v>
      </c>
      <c r="Y68" s="669">
        <v>16</v>
      </c>
      <c r="Z68" s="669">
        <v>0.5</v>
      </c>
      <c r="AA68" s="669">
        <v>2</v>
      </c>
      <c r="AB68" s="669">
        <v>16</v>
      </c>
      <c r="AC68" s="669">
        <v>40</v>
      </c>
      <c r="AD68" s="757">
        <f>SUM(D68:AC68)</f>
        <v>159.5</v>
      </c>
      <c r="AE68" s="764"/>
      <c r="AF68" s="903"/>
      <c r="AG68" s="838"/>
      <c r="AH68" s="830"/>
      <c r="AI68" s="670"/>
      <c r="AJ68" s="689"/>
      <c r="AL68" s="232"/>
      <c r="AZ68" s="227"/>
    </row>
    <row r="69" spans="1:52" x14ac:dyDescent="0.25">
      <c r="A69" s="159"/>
      <c r="B69" s="666"/>
      <c r="C69" s="650" t="s">
        <v>520</v>
      </c>
      <c r="D69" s="710">
        <v>0</v>
      </c>
      <c r="E69" s="713">
        <v>0</v>
      </c>
      <c r="F69" s="713">
        <v>0</v>
      </c>
      <c r="G69" s="713">
        <v>1</v>
      </c>
      <c r="H69" s="713"/>
      <c r="I69" s="713"/>
      <c r="J69" s="713"/>
      <c r="K69" s="713"/>
      <c r="L69" s="713">
        <v>0.25</v>
      </c>
      <c r="M69" s="713">
        <v>0.75</v>
      </c>
      <c r="N69" s="713">
        <v>0</v>
      </c>
      <c r="O69" s="713"/>
      <c r="P69" s="713">
        <v>1</v>
      </c>
      <c r="Q69" s="713">
        <v>0</v>
      </c>
      <c r="R69" s="713">
        <f>AH70/AG70</f>
        <v>0.32097161784763267</v>
      </c>
      <c r="S69" s="713">
        <f>1-R69</f>
        <v>0.67902838215236727</v>
      </c>
      <c r="T69" s="713">
        <f>$R69</f>
        <v>0.32097161784763267</v>
      </c>
      <c r="U69" s="713">
        <f>$S69</f>
        <v>0.67902838215236727</v>
      </c>
      <c r="V69" s="713">
        <v>1</v>
      </c>
      <c r="W69" s="713">
        <f>AI70/AG70</f>
        <v>0.19101123595505617</v>
      </c>
      <c r="X69" s="713">
        <v>0</v>
      </c>
      <c r="Y69" s="713">
        <f>W69</f>
        <v>0.19101123595505617</v>
      </c>
      <c r="Z69" s="713">
        <f>AJ70/AG70</f>
        <v>2.247191011235955E-2</v>
      </c>
      <c r="AA69" s="713">
        <f>$Z69</f>
        <v>2.247191011235955E-2</v>
      </c>
      <c r="AB69" s="713">
        <f>$AA69</f>
        <v>2.247191011235955E-2</v>
      </c>
      <c r="AC69" s="713">
        <f>$AA69</f>
        <v>2.247191011235955E-2</v>
      </c>
      <c r="AD69" s="758"/>
      <c r="AE69" s="904"/>
      <c r="AF69" s="905"/>
      <c r="AG69" s="839"/>
      <c r="AH69" s="832"/>
      <c r="AI69" s="711"/>
      <c r="AJ69" s="712"/>
      <c r="AL69" s="232"/>
      <c r="AM69" s="233"/>
      <c r="AZ69" s="227"/>
    </row>
    <row r="70" spans="1:52" x14ac:dyDescent="0.25">
      <c r="A70" s="159"/>
      <c r="B70" s="666"/>
      <c r="C70" s="671" t="s">
        <v>587</v>
      </c>
      <c r="D70" s="739">
        <f>D68*D69</f>
        <v>0</v>
      </c>
      <c r="E70" s="740">
        <f t="shared" ref="E70:G70" si="74">E68*E69</f>
        <v>0</v>
      </c>
      <c r="F70" s="740">
        <f t="shared" si="74"/>
        <v>0</v>
      </c>
      <c r="G70" s="740">
        <f t="shared" si="74"/>
        <v>16</v>
      </c>
      <c r="H70" s="740"/>
      <c r="I70" s="740"/>
      <c r="J70" s="740"/>
      <c r="K70" s="740"/>
      <c r="L70" s="740">
        <f t="shared" ref="L70:N70" si="75">L68*L69</f>
        <v>0.25</v>
      </c>
      <c r="M70" s="740">
        <f t="shared" si="75"/>
        <v>0.75</v>
      </c>
      <c r="N70" s="740">
        <f t="shared" si="75"/>
        <v>0</v>
      </c>
      <c r="O70" s="740"/>
      <c r="P70" s="740">
        <f t="shared" ref="P70:AC70" si="76">P68*P69</f>
        <v>2</v>
      </c>
      <c r="Q70" s="740">
        <f t="shared" si="76"/>
        <v>0</v>
      </c>
      <c r="R70" s="740">
        <f t="shared" si="76"/>
        <v>7.7033188283431837</v>
      </c>
      <c r="S70" s="740">
        <f t="shared" si="76"/>
        <v>16.296681171656815</v>
      </c>
      <c r="T70" s="740">
        <f t="shared" si="76"/>
        <v>3.8516594141715919</v>
      </c>
      <c r="U70" s="740">
        <f t="shared" si="76"/>
        <v>2.0370851464571018</v>
      </c>
      <c r="V70" s="740">
        <f t="shared" si="76"/>
        <v>0.5</v>
      </c>
      <c r="W70" s="740">
        <f t="shared" si="76"/>
        <v>9.5505617977528087E-2</v>
      </c>
      <c r="X70" s="740">
        <f t="shared" si="76"/>
        <v>0</v>
      </c>
      <c r="Y70" s="740">
        <f t="shared" si="76"/>
        <v>3.0561797752808988</v>
      </c>
      <c r="Z70" s="740">
        <f t="shared" si="76"/>
        <v>1.1235955056179775E-2</v>
      </c>
      <c r="AA70" s="740">
        <f t="shared" si="76"/>
        <v>4.49438202247191E-2</v>
      </c>
      <c r="AB70" s="740">
        <f t="shared" si="76"/>
        <v>0.3595505617977528</v>
      </c>
      <c r="AC70" s="740">
        <f t="shared" si="76"/>
        <v>0.898876404494382</v>
      </c>
      <c r="AD70" s="760">
        <f>SUM(D70:AC70)</f>
        <v>53.85503669546015</v>
      </c>
      <c r="AE70" s="904">
        <v>54</v>
      </c>
      <c r="AF70" s="907">
        <f>ROUND(169*AE70/SUM(AE$50:AE$70),0)</f>
        <v>35</v>
      </c>
      <c r="AG70" s="839">
        <f>SUM(AE70:AF70)</f>
        <v>89</v>
      </c>
      <c r="AH70" s="833">
        <f>14+(147-75)*AF70/AF$49</f>
        <v>28.566473988439306</v>
      </c>
      <c r="AI70" s="716">
        <f>ROUND(89*AH70/AH$49,0)</f>
        <v>17</v>
      </c>
      <c r="AJ70" s="712">
        <f>ROUND(12*AI70/AI$49,0)</f>
        <v>2</v>
      </c>
      <c r="AL70" s="232"/>
      <c r="AM70" s="233"/>
      <c r="AZ70" s="227"/>
    </row>
    <row r="71" spans="1:52" ht="15.75" thickBot="1" x14ac:dyDescent="0.3">
      <c r="A71" s="159"/>
      <c r="B71" s="741"/>
      <c r="C71" s="742" t="s">
        <v>588</v>
      </c>
      <c r="D71" s="743"/>
      <c r="E71" s="743"/>
      <c r="F71" s="743"/>
      <c r="G71" s="744"/>
      <c r="H71" s="744"/>
      <c r="I71" s="744"/>
      <c r="J71" s="744"/>
      <c r="K71" s="744"/>
      <c r="L71" s="744"/>
      <c r="M71" s="744"/>
      <c r="N71" s="744"/>
      <c r="O71" s="744"/>
      <c r="P71" s="744"/>
      <c r="Q71" s="744"/>
      <c r="R71" s="744"/>
      <c r="S71" s="744"/>
      <c r="T71" s="744"/>
      <c r="U71" s="744"/>
      <c r="V71" s="744"/>
      <c r="W71" s="744"/>
      <c r="X71" s="744"/>
      <c r="Y71" s="744"/>
      <c r="Z71" s="744"/>
      <c r="AA71" s="744"/>
      <c r="AB71" s="744"/>
      <c r="AC71" s="744"/>
      <c r="AD71" s="761"/>
      <c r="AE71" s="765">
        <f>558-173-SUM(AE50:AE70)</f>
        <v>125</v>
      </c>
      <c r="AF71" s="913">
        <v>4</v>
      </c>
      <c r="AG71" s="914">
        <f>SUM(AE71:AF71)</f>
        <v>129</v>
      </c>
      <c r="AH71" s="915">
        <f>5+(147-75)*AF71/AF$49</f>
        <v>6.6647398843930636</v>
      </c>
      <c r="AI71" s="916">
        <f>ROUND(89*AH71/AH$49,0)</f>
        <v>4</v>
      </c>
      <c r="AJ71" s="917">
        <f>ROUND(12*AI71/AI$49,0)</f>
        <v>1</v>
      </c>
    </row>
    <row r="72" spans="1:52" x14ac:dyDescent="0.25">
      <c r="A72" s="159"/>
      <c r="B72" s="657" t="s">
        <v>535</v>
      </c>
      <c r="C72" s="658" t="s">
        <v>523</v>
      </c>
      <c r="D72" s="662">
        <f t="shared" ref="D72:F72" si="77">D75*$AG75/2/($AG72-$AG85)+D78*$AG75/2/($AG72-$AG85)+D81*$AG81/2/($AG72-$AG85)+D84*$AG81/2/($AG72-$AG85)</f>
        <v>0</v>
      </c>
      <c r="E72" s="662">
        <f t="shared" si="77"/>
        <v>0</v>
      </c>
      <c r="F72" s="662">
        <f t="shared" si="77"/>
        <v>0</v>
      </c>
      <c r="G72" s="661">
        <f>G75*$AG75/2/($AG72-$AG85)+G78*$AG75/2/($AG72-$AG85)+G81*$AG81/2/($AG72-$AG85)+G84*$AG81/2/($AG72-$AG85)</f>
        <v>3.6005802707930368</v>
      </c>
      <c r="H72" s="729"/>
      <c r="I72" s="729"/>
      <c r="J72" s="729"/>
      <c r="K72" s="729"/>
      <c r="L72" s="661">
        <f t="shared" ref="L72:N72" si="78">L75*$AG75/2/($AG72-$AG85)+L78*$AG75/2/($AG72-$AG85)+L81*$AG81/2/($AG72-$AG85)+L84*$AG81/2/($AG72-$AG85)</f>
        <v>0.19970986460348161</v>
      </c>
      <c r="M72" s="662">
        <f t="shared" si="78"/>
        <v>0</v>
      </c>
      <c r="N72" s="662">
        <f t="shared" si="78"/>
        <v>0</v>
      </c>
      <c r="O72" s="662"/>
      <c r="P72" s="662">
        <f t="shared" ref="P72:AC72" si="79">P75*$AG75/2/($AG72-$AG85)+P78*$AG75/2/($AG72-$AG85)+P81*$AG81/2/($AG72-$AG85)+P84*$AG81/2/($AG72-$AG85)</f>
        <v>2.3994197292069632</v>
      </c>
      <c r="Q72" s="662">
        <f t="shared" si="79"/>
        <v>0</v>
      </c>
      <c r="R72" s="662">
        <f t="shared" si="79"/>
        <v>15.740812379110253</v>
      </c>
      <c r="S72" s="662">
        <f t="shared" si="79"/>
        <v>3.0638297872340425</v>
      </c>
      <c r="T72" s="662">
        <f t="shared" si="79"/>
        <v>6.6150870406189561</v>
      </c>
      <c r="U72" s="662">
        <f t="shared" si="79"/>
        <v>0.69632495164410058</v>
      </c>
      <c r="V72" s="662">
        <f t="shared" si="79"/>
        <v>0.75</v>
      </c>
      <c r="W72" s="662">
        <f t="shared" si="79"/>
        <v>0.24226305609284329</v>
      </c>
      <c r="X72" s="662">
        <f t="shared" si="79"/>
        <v>0</v>
      </c>
      <c r="Y72" s="662">
        <f t="shared" si="79"/>
        <v>6.9516441005802703</v>
      </c>
      <c r="Z72" s="662">
        <f t="shared" si="79"/>
        <v>1.9342359767891677E-2</v>
      </c>
      <c r="AA72" s="662">
        <f t="shared" si="79"/>
        <v>3.8684719535783355E-2</v>
      </c>
      <c r="AB72" s="662">
        <f t="shared" si="79"/>
        <v>0.21276595744680851</v>
      </c>
      <c r="AC72" s="662">
        <f t="shared" si="79"/>
        <v>1.3539651837524176</v>
      </c>
      <c r="AD72" s="762">
        <f>SUM(D72:AC72)</f>
        <v>41.884429400386836</v>
      </c>
      <c r="AE72" s="766">
        <f t="shared" ref="AE72:AJ72" si="80">SUM(AE73:AE85)</f>
        <v>517</v>
      </c>
      <c r="AF72" s="918">
        <f t="shared" si="80"/>
        <v>0</v>
      </c>
      <c r="AG72" s="841">
        <f t="shared" si="80"/>
        <v>517</v>
      </c>
      <c r="AH72" s="834">
        <f t="shared" si="80"/>
        <v>285</v>
      </c>
      <c r="AI72" s="664">
        <f t="shared" si="80"/>
        <v>167</v>
      </c>
      <c r="AJ72" s="688">
        <f t="shared" si="80"/>
        <v>20</v>
      </c>
      <c r="AL72" s="232"/>
      <c r="AM72"/>
      <c r="AZ72" s="227"/>
    </row>
    <row r="73" spans="1:52" ht="42.6" customHeight="1" x14ac:dyDescent="0.25">
      <c r="A73" s="159">
        <f ca="1">OFFSET(A73,-5,0)+1</f>
        <v>21</v>
      </c>
      <c r="B73" s="668" t="str">
        <f t="shared" ref="B73" ca="1" si="81">"Meranie č. "&amp;A73</f>
        <v>Meranie č. 21</v>
      </c>
      <c r="C73" s="671" t="s">
        <v>593</v>
      </c>
      <c r="D73" s="709">
        <v>0</v>
      </c>
      <c r="E73" s="669">
        <v>0</v>
      </c>
      <c r="F73" s="669">
        <v>0</v>
      </c>
      <c r="G73" s="669">
        <v>4</v>
      </c>
      <c r="H73" s="669" t="s">
        <v>555</v>
      </c>
      <c r="I73" s="669" t="s">
        <v>555</v>
      </c>
      <c r="J73" s="669" t="s">
        <v>555</v>
      </c>
      <c r="K73" s="669" t="s">
        <v>555</v>
      </c>
      <c r="L73" s="669">
        <v>1</v>
      </c>
      <c r="M73" s="669" t="s">
        <v>557</v>
      </c>
      <c r="N73" s="669">
        <v>0</v>
      </c>
      <c r="O73" s="669" t="s">
        <v>559</v>
      </c>
      <c r="P73" s="669">
        <v>3</v>
      </c>
      <c r="Q73" s="669">
        <v>0.5</v>
      </c>
      <c r="R73" s="669">
        <v>24</v>
      </c>
      <c r="S73" s="669">
        <v>1</v>
      </c>
      <c r="T73" s="669">
        <v>12</v>
      </c>
      <c r="U73" s="669">
        <v>0</v>
      </c>
      <c r="V73" s="669">
        <v>0.5</v>
      </c>
      <c r="W73" s="669">
        <v>0.5</v>
      </c>
      <c r="X73" s="669">
        <v>3.5</v>
      </c>
      <c r="Y73" s="669">
        <v>20</v>
      </c>
      <c r="Z73" s="669">
        <v>0.5</v>
      </c>
      <c r="AA73" s="669">
        <v>1</v>
      </c>
      <c r="AB73" s="669">
        <v>12</v>
      </c>
      <c r="AC73" s="669">
        <v>40</v>
      </c>
      <c r="AD73" s="757">
        <f>SUM(D73:AC73)</f>
        <v>123.5</v>
      </c>
      <c r="AE73" s="764"/>
      <c r="AF73" s="903"/>
      <c r="AG73" s="838"/>
      <c r="AH73" s="830"/>
      <c r="AI73" s="670"/>
      <c r="AJ73" s="689"/>
      <c r="AL73" s="232"/>
      <c r="AZ73" s="227"/>
    </row>
    <row r="74" spans="1:52" x14ac:dyDescent="0.25">
      <c r="A74" s="159"/>
      <c r="B74" s="666"/>
      <c r="C74" s="650" t="s">
        <v>520</v>
      </c>
      <c r="D74" s="710">
        <v>0</v>
      </c>
      <c r="E74" s="713">
        <v>0</v>
      </c>
      <c r="F74" s="713">
        <v>0</v>
      </c>
      <c r="G74" s="713">
        <v>1</v>
      </c>
      <c r="H74" s="713"/>
      <c r="I74" s="713"/>
      <c r="J74" s="713"/>
      <c r="K74" s="713"/>
      <c r="L74" s="713">
        <v>0.25</v>
      </c>
      <c r="M74" s="713"/>
      <c r="N74" s="713">
        <v>0</v>
      </c>
      <c r="O74" s="713"/>
      <c r="P74" s="713">
        <v>1</v>
      </c>
      <c r="Q74" s="713">
        <v>0</v>
      </c>
      <c r="R74" s="713">
        <f>AH75/AG75</f>
        <v>0.54721549636803879</v>
      </c>
      <c r="S74" s="713">
        <f>1-R74</f>
        <v>0.45278450363196121</v>
      </c>
      <c r="T74" s="713">
        <f>$R74</f>
        <v>0.54721549636803879</v>
      </c>
      <c r="U74" s="713">
        <f>$S74</f>
        <v>0.45278450363196121</v>
      </c>
      <c r="V74" s="713">
        <v>1</v>
      </c>
      <c r="W74" s="713">
        <f>AI75/AG75</f>
        <v>0.30750605326876512</v>
      </c>
      <c r="X74" s="713">
        <v>0</v>
      </c>
      <c r="Y74" s="713">
        <f>W74</f>
        <v>0.30750605326876512</v>
      </c>
      <c r="Z74" s="713">
        <f>AJ75/AG75</f>
        <v>3.6319612590799029E-2</v>
      </c>
      <c r="AA74" s="713">
        <f>$Z74</f>
        <v>3.6319612590799029E-2</v>
      </c>
      <c r="AB74" s="713">
        <f>$AA74</f>
        <v>3.6319612590799029E-2</v>
      </c>
      <c r="AC74" s="713">
        <f>$AA74</f>
        <v>3.6319612590799029E-2</v>
      </c>
      <c r="AD74" s="758"/>
      <c r="AE74" s="904"/>
      <c r="AF74" s="905"/>
      <c r="AG74" s="839"/>
      <c r="AH74" s="832"/>
      <c r="AI74" s="711"/>
      <c r="AJ74" s="712"/>
      <c r="AL74" s="232"/>
      <c r="AM74" s="233"/>
      <c r="AZ74" s="227"/>
    </row>
    <row r="75" spans="1:52" x14ac:dyDescent="0.25">
      <c r="A75" s="159"/>
      <c r="B75" s="231"/>
      <c r="C75" s="650" t="s">
        <v>587</v>
      </c>
      <c r="D75" s="714">
        <f>D73*D74</f>
        <v>0</v>
      </c>
      <c r="E75" s="715">
        <f t="shared" ref="E75:G75" si="82">E73*E74</f>
        <v>0</v>
      </c>
      <c r="F75" s="715">
        <f t="shared" si="82"/>
        <v>0</v>
      </c>
      <c r="G75" s="715">
        <f t="shared" si="82"/>
        <v>4</v>
      </c>
      <c r="H75" s="715"/>
      <c r="I75" s="715"/>
      <c r="J75" s="715"/>
      <c r="K75" s="715"/>
      <c r="L75" s="715">
        <f t="shared" ref="L75:N75" si="83">L73*L74</f>
        <v>0.25</v>
      </c>
      <c r="M75" s="715"/>
      <c r="N75" s="715">
        <f t="shared" si="83"/>
        <v>0</v>
      </c>
      <c r="O75" s="715"/>
      <c r="P75" s="715">
        <f t="shared" ref="P75:AC75" si="84">P73*P74</f>
        <v>3</v>
      </c>
      <c r="Q75" s="715">
        <f t="shared" si="84"/>
        <v>0</v>
      </c>
      <c r="R75" s="715">
        <f t="shared" si="84"/>
        <v>13.133171912832932</v>
      </c>
      <c r="S75" s="715">
        <f t="shared" si="84"/>
        <v>0.45278450363196121</v>
      </c>
      <c r="T75" s="715">
        <f t="shared" si="84"/>
        <v>6.5665859564164659</v>
      </c>
      <c r="U75" s="715">
        <f t="shared" si="84"/>
        <v>0</v>
      </c>
      <c r="V75" s="715">
        <f t="shared" si="84"/>
        <v>0.5</v>
      </c>
      <c r="W75" s="715">
        <f t="shared" si="84"/>
        <v>0.15375302663438256</v>
      </c>
      <c r="X75" s="715">
        <f t="shared" si="84"/>
        <v>0</v>
      </c>
      <c r="Y75" s="715">
        <f t="shared" si="84"/>
        <v>6.150121065375302</v>
      </c>
      <c r="Z75" s="715">
        <f t="shared" si="84"/>
        <v>1.8159806295399514E-2</v>
      </c>
      <c r="AA75" s="715">
        <f t="shared" si="84"/>
        <v>3.6319612590799029E-2</v>
      </c>
      <c r="AB75" s="715">
        <f t="shared" si="84"/>
        <v>0.43583535108958837</v>
      </c>
      <c r="AC75" s="715">
        <f t="shared" si="84"/>
        <v>1.4527845036319611</v>
      </c>
      <c r="AD75" s="759">
        <f>SUM(D75:AC75)</f>
        <v>36.149515738498792</v>
      </c>
      <c r="AE75" s="904">
        <v>413</v>
      </c>
      <c r="AF75" s="905">
        <v>0</v>
      </c>
      <c r="AG75" s="839">
        <f>SUM(AE75:AF75)</f>
        <v>413</v>
      </c>
      <c r="AH75" s="832">
        <v>226</v>
      </c>
      <c r="AI75" s="711">
        <v>127</v>
      </c>
      <c r="AJ75" s="712">
        <f>ROUND(20*AI75/AI$72,0)</f>
        <v>15</v>
      </c>
      <c r="AL75" s="232"/>
      <c r="AM75" s="233"/>
      <c r="AZ75" s="227"/>
    </row>
    <row r="76" spans="1:52" ht="42.6" customHeight="1" x14ac:dyDescent="0.25">
      <c r="A76" s="159">
        <f ca="1">OFFSET(A76,-3,0)+1</f>
        <v>22</v>
      </c>
      <c r="B76" s="668" t="str">
        <f t="shared" ref="B76" ca="1" si="85">"Meranie č. "&amp;A76</f>
        <v>Meranie č. 22</v>
      </c>
      <c r="C76" s="671" t="s">
        <v>753</v>
      </c>
      <c r="D76" s="709">
        <v>0</v>
      </c>
      <c r="E76" s="669">
        <v>0</v>
      </c>
      <c r="F76" s="669">
        <v>0</v>
      </c>
      <c r="G76" s="669">
        <v>3</v>
      </c>
      <c r="H76" s="669" t="s">
        <v>555</v>
      </c>
      <c r="I76" s="669" t="s">
        <v>555</v>
      </c>
      <c r="J76" s="669" t="s">
        <v>555</v>
      </c>
      <c r="K76" s="669" t="s">
        <v>555</v>
      </c>
      <c r="L76" s="669">
        <v>1</v>
      </c>
      <c r="M76" s="669" t="s">
        <v>557</v>
      </c>
      <c r="N76" s="669">
        <v>0</v>
      </c>
      <c r="O76" s="669" t="s">
        <v>559</v>
      </c>
      <c r="P76" s="669">
        <v>2</v>
      </c>
      <c r="Q76" s="669">
        <v>5</v>
      </c>
      <c r="R76" s="669">
        <v>24</v>
      </c>
      <c r="S76" s="669">
        <v>8</v>
      </c>
      <c r="T76" s="669">
        <v>12</v>
      </c>
      <c r="U76" s="669">
        <v>0</v>
      </c>
      <c r="V76" s="669">
        <v>1</v>
      </c>
      <c r="W76" s="669">
        <v>1</v>
      </c>
      <c r="X76" s="669">
        <v>3.5</v>
      </c>
      <c r="Y76" s="669">
        <v>24</v>
      </c>
      <c r="Z76" s="669">
        <v>0.5</v>
      </c>
      <c r="AA76" s="669">
        <v>1</v>
      </c>
      <c r="AB76" s="669">
        <v>0</v>
      </c>
      <c r="AC76" s="669">
        <v>0</v>
      </c>
      <c r="AD76" s="757">
        <f>SUM(D76:AC76)</f>
        <v>86</v>
      </c>
      <c r="AE76" s="908"/>
      <c r="AF76" s="909"/>
      <c r="AG76" s="910"/>
      <c r="AH76" s="911"/>
      <c r="AI76" s="912"/>
      <c r="AJ76" s="699"/>
      <c r="AL76" s="232"/>
      <c r="AZ76" s="227"/>
    </row>
    <row r="77" spans="1:52" x14ac:dyDescent="0.25">
      <c r="A77" s="159"/>
      <c r="B77" s="666"/>
      <c r="C77" s="650" t="s">
        <v>520</v>
      </c>
      <c r="D77" s="710">
        <v>0</v>
      </c>
      <c r="E77" s="713">
        <v>0</v>
      </c>
      <c r="F77" s="713">
        <v>0</v>
      </c>
      <c r="G77" s="713">
        <v>1</v>
      </c>
      <c r="H77" s="713"/>
      <c r="I77" s="713"/>
      <c r="J77" s="713"/>
      <c r="K77" s="713"/>
      <c r="L77" s="713">
        <v>0.25</v>
      </c>
      <c r="M77" s="713"/>
      <c r="N77" s="713">
        <v>0</v>
      </c>
      <c r="O77" s="713"/>
      <c r="P77" s="713">
        <v>1</v>
      </c>
      <c r="Q77" s="713">
        <v>0</v>
      </c>
      <c r="R77" s="713">
        <f t="shared" ref="R77:W77" si="86">R74</f>
        <v>0.54721549636803879</v>
      </c>
      <c r="S77" s="713">
        <f t="shared" si="86"/>
        <v>0.45278450363196121</v>
      </c>
      <c r="T77" s="713">
        <f t="shared" si="86"/>
        <v>0.54721549636803879</v>
      </c>
      <c r="U77" s="713">
        <f t="shared" si="86"/>
        <v>0.45278450363196121</v>
      </c>
      <c r="V77" s="713">
        <v>1</v>
      </c>
      <c r="W77" s="713">
        <f t="shared" si="86"/>
        <v>0.30750605326876512</v>
      </c>
      <c r="X77" s="713">
        <v>0</v>
      </c>
      <c r="Y77" s="713">
        <f>W77</f>
        <v>0.30750605326876512</v>
      </c>
      <c r="Z77" s="713">
        <f t="shared" ref="Z77:AC77" si="87">Z74</f>
        <v>3.6319612590799029E-2</v>
      </c>
      <c r="AA77" s="713">
        <f t="shared" si="87"/>
        <v>3.6319612590799029E-2</v>
      </c>
      <c r="AB77" s="713">
        <f t="shared" si="87"/>
        <v>3.6319612590799029E-2</v>
      </c>
      <c r="AC77" s="713">
        <f t="shared" si="87"/>
        <v>3.6319612590799029E-2</v>
      </c>
      <c r="AD77" s="758"/>
      <c r="AE77" s="904"/>
      <c r="AF77" s="905"/>
      <c r="AG77" s="839"/>
      <c r="AH77" s="832"/>
      <c r="AI77" s="711"/>
      <c r="AJ77" s="712"/>
      <c r="AL77" s="232"/>
      <c r="AM77" s="233"/>
      <c r="AZ77" s="227"/>
    </row>
    <row r="78" spans="1:52" x14ac:dyDescent="0.25">
      <c r="A78" s="159"/>
      <c r="B78" s="231"/>
      <c r="C78" s="650" t="s">
        <v>587</v>
      </c>
      <c r="D78" s="714">
        <f>D76*D77</f>
        <v>0</v>
      </c>
      <c r="E78" s="715">
        <f t="shared" ref="E78:G78" si="88">E76*E77</f>
        <v>0</v>
      </c>
      <c r="F78" s="715">
        <f t="shared" si="88"/>
        <v>0</v>
      </c>
      <c r="G78" s="715">
        <f t="shared" si="88"/>
        <v>3</v>
      </c>
      <c r="H78" s="715"/>
      <c r="I78" s="715"/>
      <c r="J78" s="715"/>
      <c r="K78" s="715"/>
      <c r="L78" s="715">
        <f t="shared" ref="L78" si="89">L76*L77</f>
        <v>0.25</v>
      </c>
      <c r="M78" s="715"/>
      <c r="N78" s="715">
        <f t="shared" ref="N78" si="90">N76*N77</f>
        <v>0</v>
      </c>
      <c r="O78" s="715"/>
      <c r="P78" s="715">
        <f t="shared" ref="P78:AC78" si="91">P76*P77</f>
        <v>2</v>
      </c>
      <c r="Q78" s="715">
        <f t="shared" si="91"/>
        <v>0</v>
      </c>
      <c r="R78" s="715">
        <f t="shared" si="91"/>
        <v>13.133171912832932</v>
      </c>
      <c r="S78" s="715">
        <f t="shared" si="91"/>
        <v>3.6222760290556897</v>
      </c>
      <c r="T78" s="715">
        <f t="shared" si="91"/>
        <v>6.5665859564164659</v>
      </c>
      <c r="U78" s="715">
        <f t="shared" si="91"/>
        <v>0</v>
      </c>
      <c r="V78" s="715">
        <f t="shared" si="91"/>
        <v>1</v>
      </c>
      <c r="W78" s="715">
        <f t="shared" si="91"/>
        <v>0.30750605326876512</v>
      </c>
      <c r="X78" s="715">
        <f t="shared" si="91"/>
        <v>0</v>
      </c>
      <c r="Y78" s="715">
        <f t="shared" si="91"/>
        <v>7.3801452784503629</v>
      </c>
      <c r="Z78" s="715">
        <f t="shared" si="91"/>
        <v>1.8159806295399514E-2</v>
      </c>
      <c r="AA78" s="715">
        <f t="shared" si="91"/>
        <v>3.6319612590799029E-2</v>
      </c>
      <c r="AB78" s="715">
        <f t="shared" si="91"/>
        <v>0</v>
      </c>
      <c r="AC78" s="715">
        <f t="shared" si="91"/>
        <v>0</v>
      </c>
      <c r="AD78" s="759">
        <f>SUM(D78:AC78)</f>
        <v>37.314164648910413</v>
      </c>
      <c r="AE78" s="906"/>
      <c r="AF78" s="907"/>
      <c r="AG78" s="840"/>
      <c r="AH78" s="833"/>
      <c r="AI78" s="716"/>
      <c r="AJ78" s="717"/>
      <c r="AL78" s="232"/>
      <c r="AM78" s="233"/>
      <c r="AZ78" s="227"/>
    </row>
    <row r="79" spans="1:52" ht="42.6" customHeight="1" x14ac:dyDescent="0.25">
      <c r="A79" s="159">
        <f ca="1">OFFSET(A79,-3,0)+1</f>
        <v>23</v>
      </c>
      <c r="B79" s="668" t="str">
        <f t="shared" ref="B79" ca="1" si="92">"Meranie č. "&amp;A79</f>
        <v>Meranie č. 23</v>
      </c>
      <c r="C79" s="671" t="s">
        <v>594</v>
      </c>
      <c r="D79" s="709">
        <v>0</v>
      </c>
      <c r="E79" s="669">
        <v>0</v>
      </c>
      <c r="F79" s="669">
        <v>0</v>
      </c>
      <c r="G79" s="669">
        <v>4</v>
      </c>
      <c r="H79" s="669" t="s">
        <v>555</v>
      </c>
      <c r="I79" s="669" t="s">
        <v>555</v>
      </c>
      <c r="J79" s="669" t="s">
        <v>555</v>
      </c>
      <c r="K79" s="669" t="s">
        <v>555</v>
      </c>
      <c r="L79" s="669">
        <v>0</v>
      </c>
      <c r="M79" s="669">
        <v>0</v>
      </c>
      <c r="N79" s="669">
        <v>0</v>
      </c>
      <c r="O79" s="669" t="s">
        <v>559</v>
      </c>
      <c r="P79" s="669">
        <v>1</v>
      </c>
      <c r="Q79" s="669">
        <v>0.5</v>
      </c>
      <c r="R79" s="669">
        <v>36</v>
      </c>
      <c r="S79" s="669">
        <v>1</v>
      </c>
      <c r="T79" s="669">
        <v>12</v>
      </c>
      <c r="U79" s="669">
        <v>8</v>
      </c>
      <c r="V79" s="669">
        <v>0.5</v>
      </c>
      <c r="W79" s="669">
        <v>0.5</v>
      </c>
      <c r="X79" s="669">
        <v>0</v>
      </c>
      <c r="Y79" s="669">
        <v>16</v>
      </c>
      <c r="Z79" s="669">
        <v>0.5</v>
      </c>
      <c r="AA79" s="669">
        <v>1</v>
      </c>
      <c r="AB79" s="669">
        <v>8</v>
      </c>
      <c r="AC79" s="669">
        <v>160</v>
      </c>
      <c r="AD79" s="757">
        <f>SUM(D79:AC79)</f>
        <v>249</v>
      </c>
      <c r="AE79" s="764"/>
      <c r="AF79" s="903"/>
      <c r="AG79" s="838"/>
      <c r="AH79" s="830"/>
      <c r="AI79" s="670"/>
      <c r="AJ79" s="689"/>
      <c r="AL79" s="232"/>
      <c r="AZ79" s="227"/>
    </row>
    <row r="80" spans="1:52" x14ac:dyDescent="0.25">
      <c r="A80" s="159"/>
      <c r="B80" s="666"/>
      <c r="C80" s="650" t="s">
        <v>520</v>
      </c>
      <c r="D80" s="710">
        <v>0</v>
      </c>
      <c r="E80" s="713">
        <v>0</v>
      </c>
      <c r="F80" s="713">
        <v>0</v>
      </c>
      <c r="G80" s="713">
        <v>1</v>
      </c>
      <c r="H80" s="713"/>
      <c r="I80" s="713"/>
      <c r="J80" s="713"/>
      <c r="K80" s="713"/>
      <c r="L80" s="713">
        <v>0</v>
      </c>
      <c r="M80" s="713"/>
      <c r="N80" s="713">
        <v>0</v>
      </c>
      <c r="O80" s="713"/>
      <c r="P80" s="713">
        <v>1</v>
      </c>
      <c r="Q80" s="713">
        <v>0</v>
      </c>
      <c r="R80" s="713">
        <f>AH81/AG81</f>
        <v>0.56730769230769229</v>
      </c>
      <c r="S80" s="713">
        <f>1-R80</f>
        <v>0.43269230769230771</v>
      </c>
      <c r="T80" s="713">
        <f>$R80</f>
        <v>0.56730769230769229</v>
      </c>
      <c r="U80" s="713">
        <f>$S80</f>
        <v>0.43269230769230771</v>
      </c>
      <c r="V80" s="713">
        <v>1</v>
      </c>
      <c r="W80" s="713">
        <f>AI81/AG81</f>
        <v>0.38461538461538464</v>
      </c>
      <c r="X80" s="713">
        <v>0</v>
      </c>
      <c r="Y80" s="713">
        <f>W80</f>
        <v>0.38461538461538464</v>
      </c>
      <c r="Z80" s="713">
        <f>AJ81/AG81</f>
        <v>4.807692307692308E-2</v>
      </c>
      <c r="AA80" s="713">
        <f>$Z80</f>
        <v>4.807692307692308E-2</v>
      </c>
      <c r="AB80" s="713">
        <f>$AA80</f>
        <v>4.807692307692308E-2</v>
      </c>
      <c r="AC80" s="713">
        <f>$AA80</f>
        <v>4.807692307692308E-2</v>
      </c>
      <c r="AD80" s="758"/>
      <c r="AE80" s="904"/>
      <c r="AF80" s="905"/>
      <c r="AG80" s="839"/>
      <c r="AH80" s="832"/>
      <c r="AI80" s="711"/>
      <c r="AJ80" s="712"/>
      <c r="AL80" s="232"/>
      <c r="AM80" s="233"/>
      <c r="AZ80" s="227"/>
    </row>
    <row r="81" spans="1:52" x14ac:dyDescent="0.25">
      <c r="A81" s="159"/>
      <c r="B81" s="231"/>
      <c r="C81" s="650" t="s">
        <v>587</v>
      </c>
      <c r="D81" s="714">
        <f>D79*D80</f>
        <v>0</v>
      </c>
      <c r="E81" s="715">
        <f t="shared" ref="E81:G81" si="93">E79*E80</f>
        <v>0</v>
      </c>
      <c r="F81" s="715">
        <f t="shared" si="93"/>
        <v>0</v>
      </c>
      <c r="G81" s="715">
        <f t="shared" si="93"/>
        <v>4</v>
      </c>
      <c r="H81" s="715"/>
      <c r="I81" s="715"/>
      <c r="J81" s="715"/>
      <c r="K81" s="715"/>
      <c r="L81" s="715">
        <f t="shared" ref="L81:N81" si="94">L79*L80</f>
        <v>0</v>
      </c>
      <c r="M81" s="715"/>
      <c r="N81" s="715">
        <f t="shared" si="94"/>
        <v>0</v>
      </c>
      <c r="O81" s="715"/>
      <c r="P81" s="715">
        <f t="shared" ref="P81:AC81" si="95">P79*P80</f>
        <v>1</v>
      </c>
      <c r="Q81" s="715">
        <f t="shared" si="95"/>
        <v>0</v>
      </c>
      <c r="R81" s="715">
        <f t="shared" si="95"/>
        <v>20.423076923076923</v>
      </c>
      <c r="S81" s="715">
        <f t="shared" si="95"/>
        <v>0.43269230769230771</v>
      </c>
      <c r="T81" s="715">
        <f t="shared" si="95"/>
        <v>6.8076923076923075</v>
      </c>
      <c r="U81" s="715">
        <f t="shared" si="95"/>
        <v>3.4615384615384617</v>
      </c>
      <c r="V81" s="715">
        <f t="shared" si="95"/>
        <v>0.5</v>
      </c>
      <c r="W81" s="715">
        <f t="shared" si="95"/>
        <v>0.19230769230769232</v>
      </c>
      <c r="X81" s="715">
        <f t="shared" si="95"/>
        <v>0</v>
      </c>
      <c r="Y81" s="715">
        <f t="shared" si="95"/>
        <v>6.1538461538461542</v>
      </c>
      <c r="Z81" s="715">
        <f t="shared" si="95"/>
        <v>2.403846153846154E-2</v>
      </c>
      <c r="AA81" s="715">
        <f t="shared" si="95"/>
        <v>4.807692307692308E-2</v>
      </c>
      <c r="AB81" s="715">
        <f t="shared" si="95"/>
        <v>0.38461538461538464</v>
      </c>
      <c r="AC81" s="715">
        <f t="shared" si="95"/>
        <v>7.6923076923076925</v>
      </c>
      <c r="AD81" s="759">
        <f>SUM(D81:AC81)</f>
        <v>51.120192307692307</v>
      </c>
      <c r="AE81" s="904">
        <v>104</v>
      </c>
      <c r="AF81" s="905">
        <v>0</v>
      </c>
      <c r="AG81" s="839">
        <f>SUM(AE81:AF81)</f>
        <v>104</v>
      </c>
      <c r="AH81" s="832">
        <v>59</v>
      </c>
      <c r="AI81" s="711">
        <v>40</v>
      </c>
      <c r="AJ81" s="712">
        <f>ROUND(20*AI81/AI$72,0)</f>
        <v>5</v>
      </c>
      <c r="AL81" s="232"/>
      <c r="AM81" s="233"/>
      <c r="AZ81" s="227"/>
    </row>
    <row r="82" spans="1:52" ht="42.6" customHeight="1" x14ac:dyDescent="0.25">
      <c r="A82" s="159">
        <f ca="1">OFFSET(A82,-3,0)+1</f>
        <v>24</v>
      </c>
      <c r="B82" s="668" t="str">
        <f t="shared" ref="B82" ca="1" si="96">"Meranie č. "&amp;A82</f>
        <v>Meranie č. 24</v>
      </c>
      <c r="C82" s="671" t="s">
        <v>754</v>
      </c>
      <c r="D82" s="709">
        <v>0</v>
      </c>
      <c r="E82" s="669">
        <v>0</v>
      </c>
      <c r="F82" s="669">
        <v>0</v>
      </c>
      <c r="G82" s="669">
        <v>4</v>
      </c>
      <c r="H82" s="669" t="s">
        <v>555</v>
      </c>
      <c r="I82" s="669" t="s">
        <v>555</v>
      </c>
      <c r="J82" s="669" t="s">
        <v>555</v>
      </c>
      <c r="K82" s="669" t="s">
        <v>555</v>
      </c>
      <c r="L82" s="669">
        <v>1</v>
      </c>
      <c r="M82" s="669" t="s">
        <v>557</v>
      </c>
      <c r="N82" s="669">
        <v>0</v>
      </c>
      <c r="O82" s="669" t="s">
        <v>559</v>
      </c>
      <c r="P82" s="669">
        <v>3</v>
      </c>
      <c r="Q82" s="669">
        <v>8</v>
      </c>
      <c r="R82" s="669">
        <v>56</v>
      </c>
      <c r="S82" s="669">
        <v>32</v>
      </c>
      <c r="T82" s="669">
        <v>12</v>
      </c>
      <c r="U82" s="669">
        <v>8</v>
      </c>
      <c r="V82" s="669">
        <v>1</v>
      </c>
      <c r="W82" s="669">
        <v>1</v>
      </c>
      <c r="X82" s="669">
        <v>8</v>
      </c>
      <c r="Y82" s="669">
        <v>24</v>
      </c>
      <c r="Z82" s="669">
        <v>0.5</v>
      </c>
      <c r="AA82" s="669">
        <v>1</v>
      </c>
      <c r="AB82" s="669">
        <v>0</v>
      </c>
      <c r="AC82" s="669">
        <v>0</v>
      </c>
      <c r="AD82" s="757">
        <f>SUM(D82:AC82)</f>
        <v>159.5</v>
      </c>
      <c r="AE82" s="908"/>
      <c r="AF82" s="909"/>
      <c r="AG82" s="910"/>
      <c r="AH82" s="911"/>
      <c r="AI82" s="912"/>
      <c r="AJ82" s="699"/>
      <c r="AL82" s="232"/>
      <c r="AZ82" s="227"/>
    </row>
    <row r="83" spans="1:52" x14ac:dyDescent="0.25">
      <c r="A83" s="159"/>
      <c r="B83" s="666"/>
      <c r="C83" s="650" t="s">
        <v>520</v>
      </c>
      <c r="D83" s="710">
        <v>0</v>
      </c>
      <c r="E83" s="713">
        <v>0</v>
      </c>
      <c r="F83" s="713">
        <v>0</v>
      </c>
      <c r="G83" s="713">
        <v>1</v>
      </c>
      <c r="H83" s="713"/>
      <c r="I83" s="713"/>
      <c r="J83" s="713"/>
      <c r="K83" s="713"/>
      <c r="L83" s="713">
        <v>0</v>
      </c>
      <c r="M83" s="713"/>
      <c r="N83" s="713">
        <v>0</v>
      </c>
      <c r="O83" s="713"/>
      <c r="P83" s="713">
        <v>1</v>
      </c>
      <c r="Q83" s="713">
        <v>0</v>
      </c>
      <c r="R83" s="713">
        <f t="shared" ref="R83:W83" si="97">R80</f>
        <v>0.56730769230769229</v>
      </c>
      <c r="S83" s="713">
        <f t="shared" si="97"/>
        <v>0.43269230769230771</v>
      </c>
      <c r="T83" s="713">
        <f t="shared" si="97"/>
        <v>0.56730769230769229</v>
      </c>
      <c r="U83" s="713">
        <f t="shared" si="97"/>
        <v>0.43269230769230771</v>
      </c>
      <c r="V83" s="713">
        <v>1</v>
      </c>
      <c r="W83" s="713">
        <f t="shared" si="97"/>
        <v>0.38461538461538464</v>
      </c>
      <c r="X83" s="713">
        <v>0</v>
      </c>
      <c r="Y83" s="713">
        <f>W83</f>
        <v>0.38461538461538464</v>
      </c>
      <c r="Z83" s="713">
        <f t="shared" ref="Z83:AC83" si="98">Z80</f>
        <v>4.807692307692308E-2</v>
      </c>
      <c r="AA83" s="713">
        <f t="shared" si="98"/>
        <v>4.807692307692308E-2</v>
      </c>
      <c r="AB83" s="713">
        <f t="shared" si="98"/>
        <v>4.807692307692308E-2</v>
      </c>
      <c r="AC83" s="713">
        <f t="shared" si="98"/>
        <v>4.807692307692308E-2</v>
      </c>
      <c r="AD83" s="758"/>
      <c r="AE83" s="904"/>
      <c r="AF83" s="905"/>
      <c r="AG83" s="839"/>
      <c r="AH83" s="832"/>
      <c r="AI83" s="711"/>
      <c r="AJ83" s="712"/>
      <c r="AL83" s="232"/>
      <c r="AM83" s="233"/>
      <c r="AZ83" s="227"/>
    </row>
    <row r="84" spans="1:52" x14ac:dyDescent="0.25">
      <c r="A84" s="159"/>
      <c r="B84" s="231"/>
      <c r="C84" s="650" t="s">
        <v>587</v>
      </c>
      <c r="D84" s="714">
        <f>D82*D83</f>
        <v>0</v>
      </c>
      <c r="E84" s="715">
        <f t="shared" ref="E84:G84" si="99">E82*E83</f>
        <v>0</v>
      </c>
      <c r="F84" s="715">
        <f t="shared" si="99"/>
        <v>0</v>
      </c>
      <c r="G84" s="715">
        <f t="shared" si="99"/>
        <v>4</v>
      </c>
      <c r="H84" s="715"/>
      <c r="I84" s="715"/>
      <c r="J84" s="715"/>
      <c r="K84" s="715"/>
      <c r="L84" s="715">
        <f t="shared" ref="L84:N84" si="100">L82*L83</f>
        <v>0</v>
      </c>
      <c r="M84" s="715"/>
      <c r="N84" s="715">
        <f t="shared" si="100"/>
        <v>0</v>
      </c>
      <c r="O84" s="715"/>
      <c r="P84" s="715">
        <f t="shared" ref="P84:AC84" si="101">P82*P83</f>
        <v>3</v>
      </c>
      <c r="Q84" s="715">
        <f t="shared" si="101"/>
        <v>0</v>
      </c>
      <c r="R84" s="715">
        <f t="shared" si="101"/>
        <v>31.769230769230766</v>
      </c>
      <c r="S84" s="715">
        <f t="shared" si="101"/>
        <v>13.846153846153847</v>
      </c>
      <c r="T84" s="715">
        <f t="shared" si="101"/>
        <v>6.8076923076923075</v>
      </c>
      <c r="U84" s="715">
        <f t="shared" si="101"/>
        <v>3.4615384615384617</v>
      </c>
      <c r="V84" s="715">
        <f t="shared" si="101"/>
        <v>1</v>
      </c>
      <c r="W84" s="715">
        <f t="shared" si="101"/>
        <v>0.38461538461538464</v>
      </c>
      <c r="X84" s="715">
        <f t="shared" si="101"/>
        <v>0</v>
      </c>
      <c r="Y84" s="715">
        <f t="shared" si="101"/>
        <v>9.2307692307692317</v>
      </c>
      <c r="Z84" s="715">
        <f t="shared" si="101"/>
        <v>2.403846153846154E-2</v>
      </c>
      <c r="AA84" s="715">
        <f t="shared" si="101"/>
        <v>4.807692307692308E-2</v>
      </c>
      <c r="AB84" s="715">
        <f t="shared" si="101"/>
        <v>0</v>
      </c>
      <c r="AC84" s="715">
        <f t="shared" si="101"/>
        <v>0</v>
      </c>
      <c r="AD84" s="759">
        <f>SUM(D84:AC84)</f>
        <v>73.572115384615373</v>
      </c>
      <c r="AE84" s="906"/>
      <c r="AF84" s="907"/>
      <c r="AG84" s="840"/>
      <c r="AH84" s="833"/>
      <c r="AI84" s="716"/>
      <c r="AJ84" s="717"/>
      <c r="AL84" s="232"/>
      <c r="AM84" s="233"/>
      <c r="AZ84" s="227"/>
    </row>
    <row r="85" spans="1:52" ht="15.75" thickBot="1" x14ac:dyDescent="0.3">
      <c r="A85" s="159"/>
      <c r="B85" s="741"/>
      <c r="C85" s="742" t="s">
        <v>588</v>
      </c>
      <c r="D85" s="743"/>
      <c r="E85" s="743"/>
      <c r="F85" s="743"/>
      <c r="G85" s="744"/>
      <c r="H85" s="744"/>
      <c r="I85" s="744"/>
      <c r="J85" s="744"/>
      <c r="K85" s="744"/>
      <c r="L85" s="744"/>
      <c r="M85" s="744"/>
      <c r="N85" s="744"/>
      <c r="O85" s="744"/>
      <c r="P85" s="744"/>
      <c r="Q85" s="744"/>
      <c r="R85" s="744"/>
      <c r="S85" s="744"/>
      <c r="T85" s="744"/>
      <c r="U85" s="744"/>
      <c r="V85" s="744"/>
      <c r="W85" s="744"/>
      <c r="X85" s="744"/>
      <c r="Y85" s="744"/>
      <c r="Z85" s="744"/>
      <c r="AA85" s="744"/>
      <c r="AB85" s="744"/>
      <c r="AC85" s="744"/>
      <c r="AD85" s="761"/>
      <c r="AE85" s="765">
        <f>517-SUM(AE73:AE84)</f>
        <v>0</v>
      </c>
      <c r="AF85" s="913">
        <v>0</v>
      </c>
      <c r="AG85" s="914">
        <f>SUM(AE85:AF85)</f>
        <v>0</v>
      </c>
      <c r="AH85" s="915">
        <v>0</v>
      </c>
      <c r="AI85" s="916">
        <f>ROUND(89*AH85/AH$49,0)</f>
        <v>0</v>
      </c>
      <c r="AJ85" s="917">
        <f>ROUND(20*AI85/AI$72,0)</f>
        <v>0</v>
      </c>
    </row>
    <row r="86" spans="1:52" x14ac:dyDescent="0.25">
      <c r="A86" s="159"/>
      <c r="B86" s="657" t="s">
        <v>536</v>
      </c>
      <c r="C86" s="658" t="s">
        <v>524</v>
      </c>
      <c r="D86" s="662">
        <f t="shared" ref="D86:G86" si="102">D89*$AG89/($AG86-$AG102)+D92*$AG92/2/($AG86-$AG102)+D95*$AG92/2/($AG86-$AG102)+D98*$AG98/2/($AG86-$AG102)+D101*$AG98/2/($AG86-$AG102)</f>
        <v>0</v>
      </c>
      <c r="E86" s="662">
        <f t="shared" si="102"/>
        <v>10.107784431137723</v>
      </c>
      <c r="F86" s="662">
        <f t="shared" si="102"/>
        <v>5.6257485029940124</v>
      </c>
      <c r="G86" s="661">
        <f t="shared" si="102"/>
        <v>6.8023952095808387</v>
      </c>
      <c r="H86" s="729"/>
      <c r="I86" s="729"/>
      <c r="J86" s="729"/>
      <c r="K86" s="729"/>
      <c r="L86" s="661">
        <f t="shared" ref="L86:M86" si="103">L89*$AG89/($AG86-$AG102)+L92*$AG92/2/($AG86-$AG102)+L95*$AG92/2/($AG86-$AG102)+L98*$AG98/2/($AG86-$AG102)+L101*$AG98/2/($AG86-$AG102)</f>
        <v>3.8023952095808387</v>
      </c>
      <c r="M86" s="662">
        <f t="shared" si="103"/>
        <v>0</v>
      </c>
      <c r="N86" s="662"/>
      <c r="O86" s="662"/>
      <c r="P86" s="662">
        <f>P89*$AG89/($AG86-$AG102)+P92*$AG92/2/($AG86-$AG102)+P95*$AG92/2/($AG86-$AG102)+P98*$AG98/2/($AG86-$AG102)+P101*$AG98/2/($AG86-$AG102)</f>
        <v>4.9281437125748502</v>
      </c>
      <c r="Q86" s="662">
        <f t="shared" ref="Q86:AC86" si="104">Q89*$AG89/($AG86-$AG102)+Q92*$AG92/2/($AG86-$AG102)+Q95*$AG92/2/($AG86-$AG102)+Q98*$AG98/2/($AG86-$AG102)+Q101*$AG98/2/($AG86-$AG102)</f>
        <v>0</v>
      </c>
      <c r="R86" s="662">
        <f t="shared" si="104"/>
        <v>0.86227544910179643</v>
      </c>
      <c r="S86" s="662">
        <f t="shared" si="104"/>
        <v>8.3353293413173652</v>
      </c>
      <c r="T86" s="662">
        <f t="shared" si="104"/>
        <v>0.43113772455089822</v>
      </c>
      <c r="U86" s="662">
        <f t="shared" si="104"/>
        <v>2.1556886227544911</v>
      </c>
      <c r="V86" s="662">
        <f t="shared" si="104"/>
        <v>3.7543712574850301</v>
      </c>
      <c r="W86" s="662">
        <f t="shared" si="104"/>
        <v>0</v>
      </c>
      <c r="X86" s="662">
        <f t="shared" si="104"/>
        <v>0</v>
      </c>
      <c r="Y86" s="662">
        <f t="shared" si="104"/>
        <v>0</v>
      </c>
      <c r="Z86" s="662">
        <f t="shared" si="104"/>
        <v>0</v>
      </c>
      <c r="AA86" s="662">
        <f t="shared" si="104"/>
        <v>0</v>
      </c>
      <c r="AB86" s="662">
        <f t="shared" si="104"/>
        <v>0</v>
      </c>
      <c r="AC86" s="662">
        <f t="shared" si="104"/>
        <v>0</v>
      </c>
      <c r="AD86" s="762">
        <f>SUM(D86:AC86)</f>
        <v>46.805269461077842</v>
      </c>
      <c r="AE86" s="766">
        <f t="shared" ref="AE86:AJ86" si="105">SUM(AE87:AE102)</f>
        <v>171</v>
      </c>
      <c r="AF86" s="918">
        <f t="shared" si="105"/>
        <v>0</v>
      </c>
      <c r="AG86" s="841">
        <f t="shared" si="105"/>
        <v>171</v>
      </c>
      <c r="AH86" s="834">
        <f t="shared" si="105"/>
        <v>17</v>
      </c>
      <c r="AI86" s="664">
        <f t="shared" si="105"/>
        <v>0</v>
      </c>
      <c r="AJ86" s="688">
        <f t="shared" si="105"/>
        <v>0</v>
      </c>
      <c r="AL86" s="232"/>
      <c r="AM86"/>
      <c r="AZ86" s="227"/>
    </row>
    <row r="87" spans="1:52" ht="30" x14ac:dyDescent="0.25">
      <c r="A87" s="159">
        <f ca="1">OFFSET(A87,-5,0)+1</f>
        <v>25</v>
      </c>
      <c r="B87" s="668" t="str">
        <f ca="1">"Meranie č. "&amp;A87</f>
        <v>Meranie č. 25</v>
      </c>
      <c r="C87" s="671" t="s">
        <v>595</v>
      </c>
      <c r="D87" s="709">
        <v>0</v>
      </c>
      <c r="E87" s="669">
        <v>40</v>
      </c>
      <c r="F87" s="669">
        <v>2.5</v>
      </c>
      <c r="G87" s="669">
        <v>16</v>
      </c>
      <c r="H87" s="669" t="s">
        <v>555</v>
      </c>
      <c r="I87" s="669" t="s">
        <v>555</v>
      </c>
      <c r="J87" s="669" t="s">
        <v>555</v>
      </c>
      <c r="K87" s="669" t="s">
        <v>555</v>
      </c>
      <c r="L87" s="669">
        <v>1</v>
      </c>
      <c r="M87" s="669">
        <v>0</v>
      </c>
      <c r="N87" s="669" t="s">
        <v>557</v>
      </c>
      <c r="O87" s="669" t="s">
        <v>559</v>
      </c>
      <c r="P87" s="669">
        <v>8</v>
      </c>
      <c r="Q87" s="669">
        <v>0</v>
      </c>
      <c r="R87" s="669">
        <v>16</v>
      </c>
      <c r="S87" s="669">
        <v>16</v>
      </c>
      <c r="T87" s="669">
        <v>8</v>
      </c>
      <c r="U87" s="669">
        <v>8</v>
      </c>
      <c r="V87" s="669">
        <v>0.5</v>
      </c>
      <c r="W87" s="669">
        <v>1</v>
      </c>
      <c r="X87" s="669">
        <v>0</v>
      </c>
      <c r="Y87" s="669">
        <v>16</v>
      </c>
      <c r="Z87" s="669">
        <v>1</v>
      </c>
      <c r="AA87" s="669">
        <v>1</v>
      </c>
      <c r="AB87" s="669">
        <v>8</v>
      </c>
      <c r="AC87" s="669">
        <v>160</v>
      </c>
      <c r="AD87" s="757">
        <f>SUM(D87:AC87)</f>
        <v>303</v>
      </c>
      <c r="AE87" s="764"/>
      <c r="AF87" s="903"/>
      <c r="AG87" s="838"/>
      <c r="AH87" s="830"/>
      <c r="AI87" s="670"/>
      <c r="AJ87" s="689"/>
      <c r="AL87" s="232"/>
      <c r="AZ87" s="227"/>
    </row>
    <row r="88" spans="1:52" x14ac:dyDescent="0.25">
      <c r="A88" s="159"/>
      <c r="B88" s="666"/>
      <c r="C88" s="650" t="s">
        <v>520</v>
      </c>
      <c r="D88" s="710">
        <v>0</v>
      </c>
      <c r="E88" s="713">
        <v>1</v>
      </c>
      <c r="F88" s="713">
        <v>1</v>
      </c>
      <c r="G88" s="713">
        <v>1</v>
      </c>
      <c r="H88" s="713"/>
      <c r="I88" s="713"/>
      <c r="J88" s="713"/>
      <c r="K88" s="713"/>
      <c r="L88" s="713">
        <v>1</v>
      </c>
      <c r="M88" s="713">
        <v>0</v>
      </c>
      <c r="N88" s="713"/>
      <c r="O88" s="713"/>
      <c r="P88" s="713">
        <v>1</v>
      </c>
      <c r="Q88" s="713">
        <v>0</v>
      </c>
      <c r="R88" s="713">
        <f>AH89/AG89</f>
        <v>9.0909090909090912E-2</v>
      </c>
      <c r="S88" s="713">
        <f>1-R88</f>
        <v>0.90909090909090906</v>
      </c>
      <c r="T88" s="713">
        <f>$R88</f>
        <v>9.0909090909090912E-2</v>
      </c>
      <c r="U88" s="713">
        <f>$S88</f>
        <v>0.90909090909090906</v>
      </c>
      <c r="V88" s="713">
        <v>1</v>
      </c>
      <c r="W88" s="713">
        <f>AI89/AG89</f>
        <v>0</v>
      </c>
      <c r="X88" s="713">
        <v>0</v>
      </c>
      <c r="Y88" s="713">
        <f>W88</f>
        <v>0</v>
      </c>
      <c r="Z88" s="713">
        <f>AJ89/AG89</f>
        <v>0</v>
      </c>
      <c r="AA88" s="713">
        <f>$Z88</f>
        <v>0</v>
      </c>
      <c r="AB88" s="713">
        <f>$AA88</f>
        <v>0</v>
      </c>
      <c r="AC88" s="713">
        <f>$AA88</f>
        <v>0</v>
      </c>
      <c r="AD88" s="758"/>
      <c r="AE88" s="904"/>
      <c r="AF88" s="905"/>
      <c r="AG88" s="839"/>
      <c r="AH88" s="832"/>
      <c r="AI88" s="711"/>
      <c r="AJ88" s="712"/>
      <c r="AL88" s="232"/>
      <c r="AM88" s="233"/>
      <c r="AZ88" s="227"/>
    </row>
    <row r="89" spans="1:52" x14ac:dyDescent="0.25">
      <c r="A89" s="159"/>
      <c r="B89" s="231"/>
      <c r="C89" s="650" t="s">
        <v>587</v>
      </c>
      <c r="D89" s="714">
        <f>D87*D88</f>
        <v>0</v>
      </c>
      <c r="E89" s="715">
        <f t="shared" ref="E89:G89" si="106">E87*E88</f>
        <v>40</v>
      </c>
      <c r="F89" s="715">
        <f t="shared" si="106"/>
        <v>2.5</v>
      </c>
      <c r="G89" s="715">
        <f t="shared" si="106"/>
        <v>16</v>
      </c>
      <c r="H89" s="715"/>
      <c r="I89" s="715"/>
      <c r="J89" s="715"/>
      <c r="K89" s="715"/>
      <c r="L89" s="715">
        <f t="shared" ref="L89:M89" si="107">L87*L88</f>
        <v>1</v>
      </c>
      <c r="M89" s="715">
        <f t="shared" si="107"/>
        <v>0</v>
      </c>
      <c r="N89" s="715"/>
      <c r="O89" s="715"/>
      <c r="P89" s="715">
        <f t="shared" ref="P89:AC89" si="108">P87*P88</f>
        <v>8</v>
      </c>
      <c r="Q89" s="715">
        <f t="shared" si="108"/>
        <v>0</v>
      </c>
      <c r="R89" s="715">
        <f t="shared" si="108"/>
        <v>1.4545454545454546</v>
      </c>
      <c r="S89" s="715">
        <f t="shared" si="108"/>
        <v>14.545454545454545</v>
      </c>
      <c r="T89" s="715">
        <f t="shared" si="108"/>
        <v>0.72727272727272729</v>
      </c>
      <c r="U89" s="715">
        <f t="shared" si="108"/>
        <v>7.2727272727272725</v>
      </c>
      <c r="V89" s="715">
        <f t="shared" si="108"/>
        <v>0.5</v>
      </c>
      <c r="W89" s="715">
        <f t="shared" si="108"/>
        <v>0</v>
      </c>
      <c r="X89" s="715">
        <f t="shared" si="108"/>
        <v>0</v>
      </c>
      <c r="Y89" s="715">
        <f t="shared" si="108"/>
        <v>0</v>
      </c>
      <c r="Z89" s="715">
        <f t="shared" si="108"/>
        <v>0</v>
      </c>
      <c r="AA89" s="715">
        <f t="shared" si="108"/>
        <v>0</v>
      </c>
      <c r="AB89" s="715">
        <f t="shared" si="108"/>
        <v>0</v>
      </c>
      <c r="AC89" s="715">
        <f t="shared" si="108"/>
        <v>0</v>
      </c>
      <c r="AD89" s="759">
        <f>SUM(D89:AC89)</f>
        <v>92</v>
      </c>
      <c r="AE89" s="906">
        <v>11</v>
      </c>
      <c r="AF89" s="907">
        <v>0</v>
      </c>
      <c r="AG89" s="840">
        <f>SUM(AE89:AF89)</f>
        <v>11</v>
      </c>
      <c r="AH89" s="833">
        <v>1</v>
      </c>
      <c r="AI89" s="716">
        <v>0</v>
      </c>
      <c r="AJ89" s="717">
        <v>0</v>
      </c>
      <c r="AL89" s="232"/>
      <c r="AM89" s="233"/>
      <c r="AZ89" s="227"/>
    </row>
    <row r="90" spans="1:52" ht="30" x14ac:dyDescent="0.25">
      <c r="A90" s="159">
        <f ca="1">OFFSET(A90,-3,0)+1</f>
        <v>26</v>
      </c>
      <c r="B90" s="668" t="str">
        <f t="shared" ref="B90" ca="1" si="109">"Meranie č. "&amp;A90</f>
        <v>Meranie č. 26</v>
      </c>
      <c r="C90" s="671" t="s">
        <v>606</v>
      </c>
      <c r="D90" s="709">
        <v>0</v>
      </c>
      <c r="E90" s="669">
        <v>8</v>
      </c>
      <c r="F90" s="669">
        <v>8</v>
      </c>
      <c r="G90" s="669">
        <v>4</v>
      </c>
      <c r="H90" s="669" t="s">
        <v>555</v>
      </c>
      <c r="I90" s="669" t="s">
        <v>555</v>
      </c>
      <c r="J90" s="669" t="s">
        <v>555</v>
      </c>
      <c r="K90" s="669" t="s">
        <v>555</v>
      </c>
      <c r="L90" s="669">
        <v>4</v>
      </c>
      <c r="M90" s="669">
        <v>0</v>
      </c>
      <c r="N90" s="669">
        <v>0</v>
      </c>
      <c r="O90" s="669" t="s">
        <v>559</v>
      </c>
      <c r="P90" s="669">
        <v>3</v>
      </c>
      <c r="Q90" s="669">
        <v>0</v>
      </c>
      <c r="R90" s="669">
        <v>16</v>
      </c>
      <c r="S90" s="669">
        <v>4</v>
      </c>
      <c r="T90" s="669">
        <v>8</v>
      </c>
      <c r="U90" s="669">
        <v>4</v>
      </c>
      <c r="V90" s="669">
        <v>4</v>
      </c>
      <c r="W90" s="669">
        <v>1</v>
      </c>
      <c r="X90" s="669">
        <v>8</v>
      </c>
      <c r="Y90" s="669">
        <v>24</v>
      </c>
      <c r="Z90" s="669">
        <v>2</v>
      </c>
      <c r="AA90" s="669">
        <v>4</v>
      </c>
      <c r="AB90" s="669">
        <v>8</v>
      </c>
      <c r="AC90" s="669">
        <v>40</v>
      </c>
      <c r="AD90" s="757">
        <f>SUM(D90:AC90)</f>
        <v>150</v>
      </c>
      <c r="AE90" s="764"/>
      <c r="AF90" s="903"/>
      <c r="AG90" s="838"/>
      <c r="AH90" s="830"/>
      <c r="AI90" s="670"/>
      <c r="AJ90" s="689"/>
      <c r="AL90" s="232"/>
      <c r="AZ90" s="227"/>
    </row>
    <row r="91" spans="1:52" x14ac:dyDescent="0.25">
      <c r="A91" s="159"/>
      <c r="B91" s="666"/>
      <c r="C91" s="650" t="s">
        <v>520</v>
      </c>
      <c r="D91" s="710">
        <v>0</v>
      </c>
      <c r="E91" s="713">
        <v>1</v>
      </c>
      <c r="F91" s="713">
        <v>1</v>
      </c>
      <c r="G91" s="713">
        <v>1</v>
      </c>
      <c r="H91" s="713"/>
      <c r="I91" s="713"/>
      <c r="J91" s="713"/>
      <c r="K91" s="713"/>
      <c r="L91" s="713">
        <v>1</v>
      </c>
      <c r="M91" s="713">
        <v>0</v>
      </c>
      <c r="N91" s="713"/>
      <c r="O91" s="713"/>
      <c r="P91" s="713">
        <v>1</v>
      </c>
      <c r="Q91" s="713">
        <v>0</v>
      </c>
      <c r="R91" s="713">
        <f>AH92/AG92</f>
        <v>0.14035087719298245</v>
      </c>
      <c r="S91" s="713">
        <f>1-R91</f>
        <v>0.85964912280701755</v>
      </c>
      <c r="T91" s="713">
        <f>$R91</f>
        <v>0.14035087719298245</v>
      </c>
      <c r="U91" s="713">
        <f>$S91</f>
        <v>0.85964912280701755</v>
      </c>
      <c r="V91" s="713">
        <v>1</v>
      </c>
      <c r="W91" s="713">
        <f>AI92/AG92</f>
        <v>0</v>
      </c>
      <c r="X91" s="713">
        <v>0</v>
      </c>
      <c r="Y91" s="713">
        <f>W91</f>
        <v>0</v>
      </c>
      <c r="Z91" s="713">
        <f>AJ92/AG92</f>
        <v>0</v>
      </c>
      <c r="AA91" s="713">
        <f>$Z91</f>
        <v>0</v>
      </c>
      <c r="AB91" s="713">
        <f>$AA91</f>
        <v>0</v>
      </c>
      <c r="AC91" s="713">
        <f>$AA91</f>
        <v>0</v>
      </c>
      <c r="AD91" s="758"/>
      <c r="AE91" s="904"/>
      <c r="AF91" s="905"/>
      <c r="AG91" s="839"/>
      <c r="AH91" s="832"/>
      <c r="AI91" s="711"/>
      <c r="AJ91" s="712"/>
      <c r="AL91" s="232"/>
      <c r="AM91" s="233"/>
      <c r="AZ91" s="227"/>
    </row>
    <row r="92" spans="1:52" x14ac:dyDescent="0.25">
      <c r="A92" s="159"/>
      <c r="B92" s="231"/>
      <c r="C92" s="650" t="s">
        <v>587</v>
      </c>
      <c r="D92" s="714">
        <f>D90*D91</f>
        <v>0</v>
      </c>
      <c r="E92" s="715">
        <f t="shared" ref="E92:G92" si="110">E90*E91</f>
        <v>8</v>
      </c>
      <c r="F92" s="715">
        <f t="shared" si="110"/>
        <v>8</v>
      </c>
      <c r="G92" s="715">
        <f t="shared" si="110"/>
        <v>4</v>
      </c>
      <c r="H92" s="715"/>
      <c r="I92" s="715"/>
      <c r="J92" s="715"/>
      <c r="K92" s="715"/>
      <c r="L92" s="715">
        <f t="shared" ref="L92:M92" si="111">L90*L91</f>
        <v>4</v>
      </c>
      <c r="M92" s="715">
        <f t="shared" si="111"/>
        <v>0</v>
      </c>
      <c r="N92" s="715"/>
      <c r="O92" s="715"/>
      <c r="P92" s="715">
        <f t="shared" ref="P92:AC92" si="112">P90*P91</f>
        <v>3</v>
      </c>
      <c r="Q92" s="715">
        <f t="shared" si="112"/>
        <v>0</v>
      </c>
      <c r="R92" s="715">
        <f t="shared" si="112"/>
        <v>2.2456140350877192</v>
      </c>
      <c r="S92" s="715">
        <f t="shared" si="112"/>
        <v>3.4385964912280702</v>
      </c>
      <c r="T92" s="715">
        <f t="shared" si="112"/>
        <v>1.1228070175438596</v>
      </c>
      <c r="U92" s="715">
        <f t="shared" si="112"/>
        <v>3.4385964912280702</v>
      </c>
      <c r="V92" s="715">
        <f t="shared" si="112"/>
        <v>4</v>
      </c>
      <c r="W92" s="715">
        <f t="shared" si="112"/>
        <v>0</v>
      </c>
      <c r="X92" s="715">
        <f t="shared" si="112"/>
        <v>0</v>
      </c>
      <c r="Y92" s="715">
        <f t="shared" si="112"/>
        <v>0</v>
      </c>
      <c r="Z92" s="715">
        <f t="shared" si="112"/>
        <v>0</v>
      </c>
      <c r="AA92" s="715">
        <f t="shared" si="112"/>
        <v>0</v>
      </c>
      <c r="AB92" s="715">
        <f t="shared" si="112"/>
        <v>0</v>
      </c>
      <c r="AC92" s="715">
        <f t="shared" si="112"/>
        <v>0</v>
      </c>
      <c r="AD92" s="759">
        <f>SUM(D92:AC92)</f>
        <v>41.245614035087712</v>
      </c>
      <c r="AE92" s="904">
        <v>114</v>
      </c>
      <c r="AF92" s="905">
        <v>0</v>
      </c>
      <c r="AG92" s="839">
        <f>SUM(AE92:AF92)</f>
        <v>114</v>
      </c>
      <c r="AH92" s="832">
        <v>16</v>
      </c>
      <c r="AI92" s="711">
        <v>0</v>
      </c>
      <c r="AJ92" s="712">
        <v>0</v>
      </c>
      <c r="AL92" s="232"/>
      <c r="AM92" s="233"/>
      <c r="AZ92" s="227"/>
    </row>
    <row r="93" spans="1:52" ht="30" x14ac:dyDescent="0.25">
      <c r="A93" s="159">
        <f ca="1">OFFSET(A93,-3,0)+1</f>
        <v>27</v>
      </c>
      <c r="B93" s="668" t="str">
        <f t="shared" ref="B93" ca="1" si="113">"Meranie č. "&amp;A93</f>
        <v>Meranie č. 27</v>
      </c>
      <c r="C93" s="671" t="s">
        <v>755</v>
      </c>
      <c r="D93" s="709">
        <v>0</v>
      </c>
      <c r="E93" s="669">
        <v>8</v>
      </c>
      <c r="F93" s="669">
        <v>8</v>
      </c>
      <c r="G93" s="669">
        <v>4</v>
      </c>
      <c r="H93" s="669" t="s">
        <v>555</v>
      </c>
      <c r="I93" s="669" t="s">
        <v>555</v>
      </c>
      <c r="J93" s="669" t="s">
        <v>555</v>
      </c>
      <c r="K93" s="669" t="s">
        <v>555</v>
      </c>
      <c r="L93" s="669">
        <v>4</v>
      </c>
      <c r="M93" s="669">
        <v>8</v>
      </c>
      <c r="N93" s="669">
        <v>8</v>
      </c>
      <c r="O93" s="669" t="s">
        <v>559</v>
      </c>
      <c r="P93" s="669">
        <v>4</v>
      </c>
      <c r="Q93" s="669">
        <v>4</v>
      </c>
      <c r="R93" s="669">
        <v>0</v>
      </c>
      <c r="S93" s="669">
        <v>16</v>
      </c>
      <c r="T93" s="669">
        <v>0</v>
      </c>
      <c r="U93" s="669">
        <v>0</v>
      </c>
      <c r="V93" s="669">
        <v>4</v>
      </c>
      <c r="W93" s="669">
        <v>0</v>
      </c>
      <c r="X93" s="669">
        <v>0</v>
      </c>
      <c r="Y93" s="669">
        <v>0</v>
      </c>
      <c r="Z93" s="669">
        <v>0</v>
      </c>
      <c r="AA93" s="669">
        <v>0</v>
      </c>
      <c r="AB93" s="669">
        <v>0</v>
      </c>
      <c r="AC93" s="669">
        <v>0</v>
      </c>
      <c r="AD93" s="757">
        <f>SUM(D93:AC93)</f>
        <v>68</v>
      </c>
      <c r="AE93" s="908"/>
      <c r="AF93" s="909"/>
      <c r="AG93" s="910"/>
      <c r="AH93" s="911"/>
      <c r="AI93" s="912"/>
      <c r="AJ93" s="699"/>
      <c r="AL93" s="232"/>
      <c r="AZ93" s="227"/>
    </row>
    <row r="94" spans="1:52" x14ac:dyDescent="0.25">
      <c r="A94" s="159"/>
      <c r="B94" s="666"/>
      <c r="C94" s="650" t="s">
        <v>520</v>
      </c>
      <c r="D94" s="710">
        <v>0</v>
      </c>
      <c r="E94" s="713">
        <v>1</v>
      </c>
      <c r="F94" s="713">
        <v>1</v>
      </c>
      <c r="G94" s="713">
        <v>1</v>
      </c>
      <c r="H94" s="713"/>
      <c r="I94" s="713"/>
      <c r="J94" s="713"/>
      <c r="K94" s="713"/>
      <c r="L94" s="713">
        <v>1</v>
      </c>
      <c r="M94" s="713">
        <v>0</v>
      </c>
      <c r="N94" s="713"/>
      <c r="O94" s="713"/>
      <c r="P94" s="713">
        <v>1</v>
      </c>
      <c r="Q94" s="713">
        <v>0</v>
      </c>
      <c r="R94" s="713">
        <f>AH92/AG92</f>
        <v>0.14035087719298245</v>
      </c>
      <c r="S94" s="713">
        <f>1-R94</f>
        <v>0.85964912280701755</v>
      </c>
      <c r="T94" s="713">
        <f>$R94</f>
        <v>0.14035087719298245</v>
      </c>
      <c r="U94" s="713">
        <f>$S94</f>
        <v>0.85964912280701755</v>
      </c>
      <c r="V94" s="713">
        <v>1</v>
      </c>
      <c r="W94" s="713">
        <f>AI92/AG92</f>
        <v>0</v>
      </c>
      <c r="X94" s="713">
        <v>0</v>
      </c>
      <c r="Y94" s="713">
        <f>W94</f>
        <v>0</v>
      </c>
      <c r="Z94" s="713">
        <f>AJ92/AG92</f>
        <v>0</v>
      </c>
      <c r="AA94" s="713">
        <f>$Z94</f>
        <v>0</v>
      </c>
      <c r="AB94" s="713">
        <f>$AA94</f>
        <v>0</v>
      </c>
      <c r="AC94" s="713">
        <f>$AA94</f>
        <v>0</v>
      </c>
      <c r="AD94" s="758"/>
      <c r="AE94" s="904"/>
      <c r="AF94" s="905"/>
      <c r="AG94" s="839"/>
      <c r="AH94" s="832"/>
      <c r="AI94" s="711"/>
      <c r="AJ94" s="712"/>
      <c r="AL94" s="232"/>
      <c r="AM94" s="233"/>
      <c r="AZ94" s="227"/>
    </row>
    <row r="95" spans="1:52" x14ac:dyDescent="0.25">
      <c r="A95" s="159"/>
      <c r="B95" s="231"/>
      <c r="C95" s="650" t="s">
        <v>587</v>
      </c>
      <c r="D95" s="714">
        <f>D93*D94</f>
        <v>0</v>
      </c>
      <c r="E95" s="715">
        <f t="shared" ref="E95:G95" si="114">E93*E94</f>
        <v>8</v>
      </c>
      <c r="F95" s="715">
        <f t="shared" si="114"/>
        <v>8</v>
      </c>
      <c r="G95" s="715">
        <f t="shared" si="114"/>
        <v>4</v>
      </c>
      <c r="H95" s="715"/>
      <c r="I95" s="715"/>
      <c r="J95" s="715"/>
      <c r="K95" s="715"/>
      <c r="L95" s="715">
        <f t="shared" ref="L95:M95" si="115">L93*L94</f>
        <v>4</v>
      </c>
      <c r="M95" s="715">
        <f t="shared" si="115"/>
        <v>0</v>
      </c>
      <c r="N95" s="715"/>
      <c r="O95" s="715"/>
      <c r="P95" s="715">
        <f t="shared" ref="P95:AC95" si="116">P93*P94</f>
        <v>4</v>
      </c>
      <c r="Q95" s="715">
        <f t="shared" si="116"/>
        <v>0</v>
      </c>
      <c r="R95" s="715">
        <f t="shared" si="116"/>
        <v>0</v>
      </c>
      <c r="S95" s="715">
        <f t="shared" si="116"/>
        <v>13.754385964912281</v>
      </c>
      <c r="T95" s="715">
        <f t="shared" si="116"/>
        <v>0</v>
      </c>
      <c r="U95" s="715">
        <f t="shared" si="116"/>
        <v>0</v>
      </c>
      <c r="V95" s="715">
        <f t="shared" si="116"/>
        <v>4</v>
      </c>
      <c r="W95" s="715">
        <f t="shared" si="116"/>
        <v>0</v>
      </c>
      <c r="X95" s="715">
        <f t="shared" si="116"/>
        <v>0</v>
      </c>
      <c r="Y95" s="715">
        <f t="shared" si="116"/>
        <v>0</v>
      </c>
      <c r="Z95" s="715">
        <f t="shared" si="116"/>
        <v>0</v>
      </c>
      <c r="AA95" s="715">
        <f t="shared" si="116"/>
        <v>0</v>
      </c>
      <c r="AB95" s="715">
        <f t="shared" si="116"/>
        <v>0</v>
      </c>
      <c r="AC95" s="715">
        <f t="shared" si="116"/>
        <v>0</v>
      </c>
      <c r="AD95" s="759">
        <f>SUM(D95:AC95)</f>
        <v>45.754385964912281</v>
      </c>
      <c r="AE95" s="906"/>
      <c r="AF95" s="907"/>
      <c r="AG95" s="840"/>
      <c r="AH95" s="833"/>
      <c r="AI95" s="716"/>
      <c r="AJ95" s="717"/>
      <c r="AL95" s="232"/>
      <c r="AM95" s="233"/>
      <c r="AZ95" s="227"/>
    </row>
    <row r="96" spans="1:52" ht="45" x14ac:dyDescent="0.25">
      <c r="A96" s="159">
        <f ca="1">OFFSET(A96,-3,0)+1</f>
        <v>28</v>
      </c>
      <c r="B96" s="668" t="str">
        <f t="shared" ref="B96" ca="1" si="117">"Meranie č. "&amp;A96</f>
        <v>Meranie č. 28</v>
      </c>
      <c r="C96" s="671" t="s">
        <v>607</v>
      </c>
      <c r="D96" s="709">
        <v>0</v>
      </c>
      <c r="E96" s="669">
        <v>8</v>
      </c>
      <c r="F96" s="669">
        <v>0</v>
      </c>
      <c r="G96" s="669">
        <v>12</v>
      </c>
      <c r="H96" s="669" t="s">
        <v>555</v>
      </c>
      <c r="I96" s="669" t="s">
        <v>555</v>
      </c>
      <c r="J96" s="669" t="s">
        <v>555</v>
      </c>
      <c r="K96" s="669">
        <v>24</v>
      </c>
      <c r="L96" s="669">
        <v>4</v>
      </c>
      <c r="M96" s="669">
        <v>0</v>
      </c>
      <c r="N96" s="669">
        <v>0</v>
      </c>
      <c r="O96" s="669" t="s">
        <v>559</v>
      </c>
      <c r="P96" s="669">
        <v>8</v>
      </c>
      <c r="Q96" s="669">
        <v>2</v>
      </c>
      <c r="R96" s="669">
        <v>16</v>
      </c>
      <c r="S96" s="669">
        <v>4</v>
      </c>
      <c r="T96" s="669">
        <v>8</v>
      </c>
      <c r="U96" s="669">
        <v>4</v>
      </c>
      <c r="V96" s="669">
        <v>4</v>
      </c>
      <c r="W96" s="669">
        <v>1</v>
      </c>
      <c r="X96" s="669">
        <v>8</v>
      </c>
      <c r="Y96" s="669">
        <v>24</v>
      </c>
      <c r="Z96" s="669">
        <v>2</v>
      </c>
      <c r="AA96" s="669">
        <v>4</v>
      </c>
      <c r="AB96" s="669">
        <v>8</v>
      </c>
      <c r="AC96" s="669">
        <v>40</v>
      </c>
      <c r="AD96" s="757">
        <f>SUM(D96:AC96)</f>
        <v>181</v>
      </c>
      <c r="AE96" s="764"/>
      <c r="AF96" s="903"/>
      <c r="AG96" s="838"/>
      <c r="AH96" s="830"/>
      <c r="AI96" s="670"/>
      <c r="AJ96" s="689"/>
      <c r="AL96" s="232"/>
      <c r="AZ96" s="227"/>
    </row>
    <row r="97" spans="1:52" x14ac:dyDescent="0.25">
      <c r="A97" s="159"/>
      <c r="B97" s="666"/>
      <c r="C97" s="650" t="s">
        <v>520</v>
      </c>
      <c r="D97" s="710">
        <v>0</v>
      </c>
      <c r="E97" s="713">
        <v>1</v>
      </c>
      <c r="F97" s="713">
        <v>1</v>
      </c>
      <c r="G97" s="713">
        <v>1</v>
      </c>
      <c r="H97" s="713"/>
      <c r="I97" s="713"/>
      <c r="J97" s="713"/>
      <c r="K97" s="713"/>
      <c r="L97" s="713">
        <v>1</v>
      </c>
      <c r="M97" s="713">
        <v>0</v>
      </c>
      <c r="N97" s="713"/>
      <c r="O97" s="713"/>
      <c r="P97" s="713">
        <v>1</v>
      </c>
      <c r="Q97" s="713">
        <v>0</v>
      </c>
      <c r="R97" s="713">
        <f>AH98/AG98</f>
        <v>0</v>
      </c>
      <c r="S97" s="713">
        <f>1-R97</f>
        <v>1</v>
      </c>
      <c r="T97" s="713">
        <f>$R97</f>
        <v>0</v>
      </c>
      <c r="U97" s="713">
        <f>$S97</f>
        <v>1</v>
      </c>
      <c r="V97" s="713">
        <v>1</v>
      </c>
      <c r="W97" s="713">
        <f>AI98/AG98</f>
        <v>0</v>
      </c>
      <c r="X97" s="713">
        <v>0</v>
      </c>
      <c r="Y97" s="713">
        <f>W97</f>
        <v>0</v>
      </c>
      <c r="Z97" s="713">
        <f>AJ98/AG98</f>
        <v>0</v>
      </c>
      <c r="AA97" s="713">
        <f>$Z97</f>
        <v>0</v>
      </c>
      <c r="AB97" s="713">
        <f>$AA97</f>
        <v>0</v>
      </c>
      <c r="AC97" s="713">
        <f>$AA97</f>
        <v>0</v>
      </c>
      <c r="AD97" s="758"/>
      <c r="AE97" s="904"/>
      <c r="AF97" s="905"/>
      <c r="AG97" s="839"/>
      <c r="AH97" s="832"/>
      <c r="AI97" s="711"/>
      <c r="AJ97" s="712"/>
      <c r="AL97" s="232"/>
      <c r="AM97" s="233"/>
      <c r="AZ97" s="227"/>
    </row>
    <row r="98" spans="1:52" x14ac:dyDescent="0.25">
      <c r="A98" s="159"/>
      <c r="B98" s="231"/>
      <c r="C98" s="650" t="s">
        <v>587</v>
      </c>
      <c r="D98" s="714">
        <f>D96*D97</f>
        <v>0</v>
      </c>
      <c r="E98" s="715">
        <f t="shared" ref="E98:G98" si="118">E96*E97</f>
        <v>8</v>
      </c>
      <c r="F98" s="715">
        <f t="shared" si="118"/>
        <v>0</v>
      </c>
      <c r="G98" s="715">
        <f t="shared" si="118"/>
        <v>12</v>
      </c>
      <c r="H98" s="715"/>
      <c r="I98" s="715"/>
      <c r="J98" s="715"/>
      <c r="K98" s="715"/>
      <c r="L98" s="715">
        <f t="shared" ref="L98:M98" si="119">L96*L97</f>
        <v>4</v>
      </c>
      <c r="M98" s="715">
        <f t="shared" si="119"/>
        <v>0</v>
      </c>
      <c r="N98" s="715"/>
      <c r="O98" s="715"/>
      <c r="P98" s="715">
        <f t="shared" ref="P98:AC98" si="120">P96*P97</f>
        <v>8</v>
      </c>
      <c r="Q98" s="715">
        <f t="shared" si="120"/>
        <v>0</v>
      </c>
      <c r="R98" s="715">
        <f t="shared" si="120"/>
        <v>0</v>
      </c>
      <c r="S98" s="715">
        <f t="shared" si="120"/>
        <v>4</v>
      </c>
      <c r="T98" s="715">
        <f t="shared" si="120"/>
        <v>0</v>
      </c>
      <c r="U98" s="715">
        <f t="shared" si="120"/>
        <v>4</v>
      </c>
      <c r="V98" s="715">
        <f t="shared" si="120"/>
        <v>4</v>
      </c>
      <c r="W98" s="715">
        <f t="shared" si="120"/>
        <v>0</v>
      </c>
      <c r="X98" s="715">
        <f t="shared" si="120"/>
        <v>0</v>
      </c>
      <c r="Y98" s="715">
        <f t="shared" si="120"/>
        <v>0</v>
      </c>
      <c r="Z98" s="715">
        <f t="shared" si="120"/>
        <v>0</v>
      </c>
      <c r="AA98" s="715">
        <f t="shared" si="120"/>
        <v>0</v>
      </c>
      <c r="AB98" s="715">
        <f t="shared" si="120"/>
        <v>0</v>
      </c>
      <c r="AC98" s="715">
        <f t="shared" si="120"/>
        <v>0</v>
      </c>
      <c r="AD98" s="759">
        <f>SUM(D98:AC98)</f>
        <v>44</v>
      </c>
      <c r="AE98" s="904">
        <v>42</v>
      </c>
      <c r="AF98" s="905">
        <v>0</v>
      </c>
      <c r="AG98" s="839">
        <f>SUM(AE98:AF98)</f>
        <v>42</v>
      </c>
      <c r="AH98" s="832">
        <v>0</v>
      </c>
      <c r="AI98" s="711">
        <f>ROUND(89*AH98/AH$49,0)</f>
        <v>0</v>
      </c>
      <c r="AJ98" s="712">
        <v>0</v>
      </c>
      <c r="AL98" s="232"/>
      <c r="AM98" s="233"/>
      <c r="AZ98" s="227"/>
    </row>
    <row r="99" spans="1:52" ht="30" x14ac:dyDescent="0.25">
      <c r="A99" s="159">
        <f ca="1">OFFSET(A99,-3,0)+1</f>
        <v>29</v>
      </c>
      <c r="B99" s="668" t="str">
        <f t="shared" ref="B99" ca="1" si="121">"Meranie č. "&amp;A99</f>
        <v>Meranie č. 29</v>
      </c>
      <c r="C99" s="671" t="s">
        <v>756</v>
      </c>
      <c r="D99" s="709">
        <v>0</v>
      </c>
      <c r="E99" s="669">
        <v>8</v>
      </c>
      <c r="F99" s="669">
        <v>0</v>
      </c>
      <c r="G99" s="669">
        <v>12</v>
      </c>
      <c r="H99" s="669" t="s">
        <v>555</v>
      </c>
      <c r="I99" s="669" t="s">
        <v>555</v>
      </c>
      <c r="J99" s="669" t="s">
        <v>555</v>
      </c>
      <c r="K99" s="669">
        <v>24</v>
      </c>
      <c r="L99" s="669">
        <v>4</v>
      </c>
      <c r="M99" s="669">
        <v>8</v>
      </c>
      <c r="N99" s="669">
        <v>0</v>
      </c>
      <c r="O99" s="669" t="s">
        <v>559</v>
      </c>
      <c r="P99" s="669">
        <v>8</v>
      </c>
      <c r="Q99" s="669">
        <v>2</v>
      </c>
      <c r="R99" s="669">
        <v>0</v>
      </c>
      <c r="S99" s="669">
        <v>8</v>
      </c>
      <c r="T99" s="669">
        <v>0</v>
      </c>
      <c r="U99" s="669">
        <v>0</v>
      </c>
      <c r="V99" s="669">
        <v>4</v>
      </c>
      <c r="W99" s="669">
        <v>0</v>
      </c>
      <c r="X99" s="669">
        <v>0</v>
      </c>
      <c r="Y99" s="669">
        <v>0</v>
      </c>
      <c r="Z99" s="669">
        <v>0</v>
      </c>
      <c r="AA99" s="669">
        <v>4</v>
      </c>
      <c r="AB99" s="669">
        <v>0</v>
      </c>
      <c r="AC99" s="669">
        <v>0</v>
      </c>
      <c r="AD99" s="757">
        <f>SUM(D99:AC99)</f>
        <v>82</v>
      </c>
      <c r="AE99" s="908"/>
      <c r="AF99" s="909"/>
      <c r="AG99" s="910"/>
      <c r="AH99" s="911"/>
      <c r="AI99" s="912"/>
      <c r="AJ99" s="699"/>
      <c r="AL99" s="232"/>
      <c r="AZ99" s="227"/>
    </row>
    <row r="100" spans="1:52" x14ac:dyDescent="0.25">
      <c r="A100" s="159"/>
      <c r="B100" s="666"/>
      <c r="C100" s="650" t="s">
        <v>520</v>
      </c>
      <c r="D100" s="710">
        <v>0</v>
      </c>
      <c r="E100" s="713">
        <v>1</v>
      </c>
      <c r="F100" s="713">
        <v>1</v>
      </c>
      <c r="G100" s="713">
        <v>1</v>
      </c>
      <c r="H100" s="713"/>
      <c r="I100" s="713"/>
      <c r="J100" s="713"/>
      <c r="K100" s="713"/>
      <c r="L100" s="713">
        <v>1</v>
      </c>
      <c r="M100" s="713">
        <v>0</v>
      </c>
      <c r="N100" s="713"/>
      <c r="O100" s="713"/>
      <c r="P100" s="713">
        <v>1</v>
      </c>
      <c r="Q100" s="713">
        <v>0</v>
      </c>
      <c r="R100" s="713">
        <f>AH98/AG98</f>
        <v>0</v>
      </c>
      <c r="S100" s="713">
        <f>1-R100</f>
        <v>1</v>
      </c>
      <c r="T100" s="713">
        <f>$R100</f>
        <v>0</v>
      </c>
      <c r="U100" s="713">
        <f>$S100</f>
        <v>1</v>
      </c>
      <c r="V100" s="713">
        <v>0.97</v>
      </c>
      <c r="W100" s="713">
        <f>AI98/AG98</f>
        <v>0</v>
      </c>
      <c r="X100" s="713">
        <v>0</v>
      </c>
      <c r="Y100" s="713">
        <f>W100</f>
        <v>0</v>
      </c>
      <c r="Z100" s="713">
        <f>AJ98/AG98</f>
        <v>0</v>
      </c>
      <c r="AA100" s="713">
        <f>$Z100</f>
        <v>0</v>
      </c>
      <c r="AB100" s="713">
        <f>$AA100</f>
        <v>0</v>
      </c>
      <c r="AC100" s="713">
        <f>$AA100</f>
        <v>0</v>
      </c>
      <c r="AD100" s="758"/>
      <c r="AE100" s="904"/>
      <c r="AF100" s="905"/>
      <c r="AG100" s="839"/>
      <c r="AH100" s="832"/>
      <c r="AI100" s="711"/>
      <c r="AJ100" s="712"/>
      <c r="AL100" s="232"/>
      <c r="AM100" s="233"/>
      <c r="AZ100" s="227"/>
    </row>
    <row r="101" spans="1:52" x14ac:dyDescent="0.25">
      <c r="A101" s="159"/>
      <c r="B101" s="231"/>
      <c r="C101" s="650" t="s">
        <v>587</v>
      </c>
      <c r="D101" s="714">
        <f>D99*D100</f>
        <v>0</v>
      </c>
      <c r="E101" s="715">
        <f t="shared" ref="E101:G101" si="122">E99*E100</f>
        <v>8</v>
      </c>
      <c r="F101" s="715">
        <f t="shared" si="122"/>
        <v>0</v>
      </c>
      <c r="G101" s="715">
        <f t="shared" si="122"/>
        <v>12</v>
      </c>
      <c r="H101" s="715"/>
      <c r="I101" s="715"/>
      <c r="J101" s="715"/>
      <c r="K101" s="715"/>
      <c r="L101" s="715">
        <f t="shared" ref="L101:M101" si="123">L99*L100</f>
        <v>4</v>
      </c>
      <c r="M101" s="715">
        <f t="shared" si="123"/>
        <v>0</v>
      </c>
      <c r="N101" s="715"/>
      <c r="O101" s="715"/>
      <c r="P101" s="715">
        <f t="shared" ref="P101:AC101" si="124">P99*P100</f>
        <v>8</v>
      </c>
      <c r="Q101" s="715">
        <f t="shared" si="124"/>
        <v>0</v>
      </c>
      <c r="R101" s="715">
        <f t="shared" si="124"/>
        <v>0</v>
      </c>
      <c r="S101" s="715">
        <f t="shared" si="124"/>
        <v>8</v>
      </c>
      <c r="T101" s="715">
        <f t="shared" si="124"/>
        <v>0</v>
      </c>
      <c r="U101" s="715">
        <f t="shared" si="124"/>
        <v>0</v>
      </c>
      <c r="V101" s="715">
        <f t="shared" si="124"/>
        <v>3.88</v>
      </c>
      <c r="W101" s="715">
        <f t="shared" si="124"/>
        <v>0</v>
      </c>
      <c r="X101" s="715">
        <f t="shared" si="124"/>
        <v>0</v>
      </c>
      <c r="Y101" s="715">
        <f t="shared" si="124"/>
        <v>0</v>
      </c>
      <c r="Z101" s="715">
        <f t="shared" si="124"/>
        <v>0</v>
      </c>
      <c r="AA101" s="715">
        <f t="shared" si="124"/>
        <v>0</v>
      </c>
      <c r="AB101" s="715">
        <f t="shared" si="124"/>
        <v>0</v>
      </c>
      <c r="AC101" s="715">
        <f t="shared" si="124"/>
        <v>0</v>
      </c>
      <c r="AD101" s="759">
        <f>SUM(D101:AC101)</f>
        <v>43.88</v>
      </c>
      <c r="AE101" s="906"/>
      <c r="AF101" s="907"/>
      <c r="AG101" s="840"/>
      <c r="AH101" s="833"/>
      <c r="AI101" s="716"/>
      <c r="AJ101" s="717"/>
      <c r="AL101" s="232"/>
      <c r="AM101" s="233"/>
      <c r="AZ101" s="227"/>
    </row>
    <row r="102" spans="1:52" ht="15.75" thickBot="1" x14ac:dyDescent="0.3">
      <c r="A102" s="159"/>
      <c r="B102" s="741"/>
      <c r="C102" s="742" t="s">
        <v>588</v>
      </c>
      <c r="D102" s="743"/>
      <c r="E102" s="743"/>
      <c r="F102" s="743"/>
      <c r="G102" s="744"/>
      <c r="H102" s="744"/>
      <c r="I102" s="744"/>
      <c r="J102" s="744"/>
      <c r="K102" s="744"/>
      <c r="L102" s="744"/>
      <c r="M102" s="744"/>
      <c r="N102" s="744"/>
      <c r="O102" s="744"/>
      <c r="P102" s="744"/>
      <c r="Q102" s="744"/>
      <c r="R102" s="744"/>
      <c r="S102" s="744"/>
      <c r="T102" s="744"/>
      <c r="U102" s="744"/>
      <c r="V102" s="744"/>
      <c r="W102" s="744"/>
      <c r="X102" s="744"/>
      <c r="Y102" s="744"/>
      <c r="Z102" s="744"/>
      <c r="AA102" s="744"/>
      <c r="AB102" s="744"/>
      <c r="AC102" s="744"/>
      <c r="AD102" s="761"/>
      <c r="AE102" s="765">
        <f>171-SUM(AE87:AE101)</f>
        <v>4</v>
      </c>
      <c r="AF102" s="913">
        <v>0</v>
      </c>
      <c r="AG102" s="914">
        <f>SUM(AE102:AF102)</f>
        <v>4</v>
      </c>
      <c r="AH102" s="915">
        <v>0</v>
      </c>
      <c r="AI102" s="916">
        <f>ROUND(89*AH102/AH$49,0)</f>
        <v>0</v>
      </c>
      <c r="AJ102" s="917">
        <v>0</v>
      </c>
    </row>
    <row r="103" spans="1:52" x14ac:dyDescent="0.25">
      <c r="A103" s="159"/>
      <c r="B103" s="657" t="s">
        <v>537</v>
      </c>
      <c r="C103" s="658" t="s">
        <v>525</v>
      </c>
      <c r="D103" s="662">
        <f>D106*$AG106/($AG103-$AG107)</f>
        <v>0</v>
      </c>
      <c r="E103" s="662">
        <f>E106*$AG106/($AG103-$AG107)</f>
        <v>0</v>
      </c>
      <c r="F103" s="662">
        <f>F106*$AG106/($AG103-$AG107)</f>
        <v>0</v>
      </c>
      <c r="G103" s="661">
        <f>G106*$AG106/($AG103-$AG107)</f>
        <v>28</v>
      </c>
      <c r="H103" s="729"/>
      <c r="I103" s="729"/>
      <c r="J103" s="729"/>
      <c r="K103" s="729"/>
      <c r="L103" s="729"/>
      <c r="M103" s="662"/>
      <c r="N103" s="662">
        <f>N106*$AG106/($AG103-$AG107)</f>
        <v>0</v>
      </c>
      <c r="O103" s="662"/>
      <c r="P103" s="662">
        <f t="shared" ref="P103:AC103" si="125">P106*$AG106/($AG103-$AG107)</f>
        <v>3</v>
      </c>
      <c r="Q103" s="662">
        <f t="shared" si="125"/>
        <v>0</v>
      </c>
      <c r="R103" s="662">
        <f t="shared" si="125"/>
        <v>0</v>
      </c>
      <c r="S103" s="662">
        <f t="shared" si="125"/>
        <v>0</v>
      </c>
      <c r="T103" s="662">
        <f t="shared" si="125"/>
        <v>2.8489208633093526</v>
      </c>
      <c r="U103" s="662">
        <f t="shared" si="125"/>
        <v>0</v>
      </c>
      <c r="V103" s="662">
        <f t="shared" si="125"/>
        <v>0.5</v>
      </c>
      <c r="W103" s="662">
        <f t="shared" si="125"/>
        <v>0.83453237410071945</v>
      </c>
      <c r="X103" s="662">
        <f t="shared" si="125"/>
        <v>0</v>
      </c>
      <c r="Y103" s="662">
        <f t="shared" si="125"/>
        <v>5.0071942446043165</v>
      </c>
      <c r="Z103" s="662">
        <f t="shared" si="125"/>
        <v>4.4964028776978415E-2</v>
      </c>
      <c r="AA103" s="662">
        <f t="shared" si="125"/>
        <v>0.17985611510791366</v>
      </c>
      <c r="AB103" s="662">
        <f t="shared" si="125"/>
        <v>0</v>
      </c>
      <c r="AC103" s="662">
        <f t="shared" si="125"/>
        <v>60.431654676258994</v>
      </c>
      <c r="AD103" s="762">
        <f>SUM(D103:AC103)</f>
        <v>100.84712230215828</v>
      </c>
      <c r="AE103" s="766">
        <f t="shared" ref="AE103:AJ103" si="126">SUM(AE104:AE107)</f>
        <v>278</v>
      </c>
      <c r="AF103" s="918">
        <f t="shared" si="126"/>
        <v>0</v>
      </c>
      <c r="AG103" s="841">
        <f t="shared" si="126"/>
        <v>278</v>
      </c>
      <c r="AH103" s="834">
        <f t="shared" si="126"/>
        <v>99</v>
      </c>
      <c r="AI103" s="664">
        <f t="shared" si="126"/>
        <v>58</v>
      </c>
      <c r="AJ103" s="688">
        <f t="shared" si="126"/>
        <v>25</v>
      </c>
      <c r="AL103" s="232"/>
      <c r="AM103"/>
      <c r="AZ103" s="227"/>
    </row>
    <row r="104" spans="1:52" ht="32.450000000000003" customHeight="1" x14ac:dyDescent="0.25">
      <c r="A104" s="159">
        <f ca="1">OFFSET(A104,-5,0)+1</f>
        <v>30</v>
      </c>
      <c r="B104" s="668" t="str">
        <f ca="1">"Meranie č. "&amp;A104</f>
        <v>Meranie č. 30</v>
      </c>
      <c r="C104" s="671" t="s">
        <v>526</v>
      </c>
      <c r="D104" s="709">
        <v>0</v>
      </c>
      <c r="E104" s="669">
        <v>0</v>
      </c>
      <c r="F104" s="669">
        <v>0</v>
      </c>
      <c r="G104" s="669">
        <v>28</v>
      </c>
      <c r="H104" s="669" t="s">
        <v>555</v>
      </c>
      <c r="I104" s="669" t="s">
        <v>555</v>
      </c>
      <c r="J104" s="669" t="s">
        <v>555</v>
      </c>
      <c r="K104" s="669" t="s">
        <v>555</v>
      </c>
      <c r="L104" s="669" t="s">
        <v>555</v>
      </c>
      <c r="M104" s="669">
        <v>0</v>
      </c>
      <c r="N104" s="669" t="s">
        <v>555</v>
      </c>
      <c r="O104" s="669" t="s">
        <v>559</v>
      </c>
      <c r="P104" s="669">
        <v>3</v>
      </c>
      <c r="Q104" s="669">
        <v>0</v>
      </c>
      <c r="R104" s="669">
        <v>0</v>
      </c>
      <c r="S104" s="669">
        <v>0</v>
      </c>
      <c r="T104" s="669">
        <v>8</v>
      </c>
      <c r="U104" s="669">
        <v>0</v>
      </c>
      <c r="V104" s="669">
        <v>0.5</v>
      </c>
      <c r="W104" s="669">
        <v>4</v>
      </c>
      <c r="X104" s="669">
        <v>0</v>
      </c>
      <c r="Y104" s="669">
        <v>24</v>
      </c>
      <c r="Z104" s="669">
        <v>0.5</v>
      </c>
      <c r="AA104" s="669">
        <v>2</v>
      </c>
      <c r="AB104" s="669">
        <v>0</v>
      </c>
      <c r="AC104" s="669">
        <v>672</v>
      </c>
      <c r="AD104" s="757">
        <f>SUM(D104:AC104)</f>
        <v>742</v>
      </c>
      <c r="AE104" s="764"/>
      <c r="AF104" s="903"/>
      <c r="AG104" s="838"/>
      <c r="AH104" s="830"/>
      <c r="AI104" s="670"/>
      <c r="AJ104" s="689"/>
      <c r="AL104" s="232"/>
      <c r="AZ104" s="227"/>
    </row>
    <row r="105" spans="1:52" x14ac:dyDescent="0.25">
      <c r="A105" s="159"/>
      <c r="B105" s="666"/>
      <c r="C105" s="650" t="s">
        <v>520</v>
      </c>
      <c r="D105" s="710">
        <v>0</v>
      </c>
      <c r="E105" s="713">
        <v>0</v>
      </c>
      <c r="F105" s="713">
        <v>0</v>
      </c>
      <c r="G105" s="713">
        <v>1</v>
      </c>
      <c r="H105" s="713"/>
      <c r="I105" s="713"/>
      <c r="J105" s="713"/>
      <c r="K105" s="713"/>
      <c r="L105" s="713"/>
      <c r="M105" s="713">
        <v>0</v>
      </c>
      <c r="N105" s="713"/>
      <c r="O105" s="713"/>
      <c r="P105" s="713">
        <v>1</v>
      </c>
      <c r="Q105" s="713">
        <v>0</v>
      </c>
      <c r="R105" s="713">
        <f>AH106/AG106</f>
        <v>0.35611510791366907</v>
      </c>
      <c r="S105" s="713">
        <f>1-R105</f>
        <v>0.64388489208633093</v>
      </c>
      <c r="T105" s="713">
        <f>$R105</f>
        <v>0.35611510791366907</v>
      </c>
      <c r="U105" s="713">
        <f>$S105</f>
        <v>0.64388489208633093</v>
      </c>
      <c r="V105" s="713">
        <v>1</v>
      </c>
      <c r="W105" s="713">
        <f>AI106/AG106</f>
        <v>0.20863309352517986</v>
      </c>
      <c r="X105" s="713">
        <v>0</v>
      </c>
      <c r="Y105" s="713">
        <f>W105</f>
        <v>0.20863309352517986</v>
      </c>
      <c r="Z105" s="713">
        <f>AJ106/AG106</f>
        <v>8.9928057553956831E-2</v>
      </c>
      <c r="AA105" s="713">
        <f>$Z105</f>
        <v>8.9928057553956831E-2</v>
      </c>
      <c r="AB105" s="713">
        <f>$AA105</f>
        <v>8.9928057553956831E-2</v>
      </c>
      <c r="AC105" s="713">
        <f>$AA105</f>
        <v>8.9928057553956831E-2</v>
      </c>
      <c r="AD105" s="758"/>
      <c r="AE105" s="904"/>
      <c r="AF105" s="905"/>
      <c r="AG105" s="839"/>
      <c r="AH105" s="832"/>
      <c r="AI105" s="711"/>
      <c r="AJ105" s="712"/>
      <c r="AL105" s="232"/>
      <c r="AM105" s="233"/>
      <c r="AZ105" s="227"/>
    </row>
    <row r="106" spans="1:52" x14ac:dyDescent="0.25">
      <c r="A106" s="159"/>
      <c r="B106" s="231"/>
      <c r="C106" s="650" t="s">
        <v>587</v>
      </c>
      <c r="D106" s="714">
        <f>D104*D105</f>
        <v>0</v>
      </c>
      <c r="E106" s="715">
        <f t="shared" ref="E106:G106" si="127">E104*E105</f>
        <v>0</v>
      </c>
      <c r="F106" s="715">
        <f t="shared" si="127"/>
        <v>0</v>
      </c>
      <c r="G106" s="715">
        <f t="shared" si="127"/>
        <v>28</v>
      </c>
      <c r="H106" s="715"/>
      <c r="I106" s="715"/>
      <c r="J106" s="715"/>
      <c r="K106" s="715"/>
      <c r="L106" s="715"/>
      <c r="M106" s="715"/>
      <c r="N106" s="715"/>
      <c r="O106" s="715"/>
      <c r="P106" s="715">
        <f t="shared" ref="P106:AC106" si="128">P104*P105</f>
        <v>3</v>
      </c>
      <c r="Q106" s="715">
        <f t="shared" si="128"/>
        <v>0</v>
      </c>
      <c r="R106" s="715">
        <f t="shared" si="128"/>
        <v>0</v>
      </c>
      <c r="S106" s="715">
        <f t="shared" si="128"/>
        <v>0</v>
      </c>
      <c r="T106" s="715">
        <f t="shared" si="128"/>
        <v>2.8489208633093526</v>
      </c>
      <c r="U106" s="715">
        <f t="shared" si="128"/>
        <v>0</v>
      </c>
      <c r="V106" s="715">
        <f t="shared" si="128"/>
        <v>0.5</v>
      </c>
      <c r="W106" s="715">
        <f t="shared" si="128"/>
        <v>0.83453237410071945</v>
      </c>
      <c r="X106" s="715">
        <f t="shared" si="128"/>
        <v>0</v>
      </c>
      <c r="Y106" s="715">
        <f t="shared" si="128"/>
        <v>5.0071942446043165</v>
      </c>
      <c r="Z106" s="715">
        <f t="shared" si="128"/>
        <v>4.4964028776978415E-2</v>
      </c>
      <c r="AA106" s="715">
        <f t="shared" si="128"/>
        <v>0.17985611510791366</v>
      </c>
      <c r="AB106" s="715">
        <f t="shared" si="128"/>
        <v>0</v>
      </c>
      <c r="AC106" s="715">
        <f t="shared" si="128"/>
        <v>60.431654676258987</v>
      </c>
      <c r="AD106" s="759">
        <f>SUM(D106:AC106)</f>
        <v>100.84712230215827</v>
      </c>
      <c r="AE106" s="906">
        <v>278</v>
      </c>
      <c r="AF106" s="907">
        <v>0</v>
      </c>
      <c r="AG106" s="840">
        <f>SUM(AE106:AF106)</f>
        <v>278</v>
      </c>
      <c r="AH106" s="833">
        <v>99</v>
      </c>
      <c r="AI106" s="716">
        <v>58</v>
      </c>
      <c r="AJ106" s="717">
        <v>25</v>
      </c>
      <c r="AL106" s="232"/>
      <c r="AM106" s="233"/>
      <c r="AZ106" s="227"/>
    </row>
    <row r="107" spans="1:52" x14ac:dyDescent="0.25">
      <c r="A107" s="159"/>
      <c r="B107" s="767"/>
      <c r="C107" s="768" t="s">
        <v>588</v>
      </c>
      <c r="D107" s="769"/>
      <c r="E107" s="769"/>
      <c r="F107" s="769"/>
      <c r="G107" s="770"/>
      <c r="H107" s="770"/>
      <c r="I107" s="770"/>
      <c r="J107" s="770"/>
      <c r="K107" s="770"/>
      <c r="L107" s="770"/>
      <c r="M107" s="770"/>
      <c r="N107" s="770"/>
      <c r="O107" s="770"/>
      <c r="P107" s="770"/>
      <c r="Q107" s="770"/>
      <c r="R107" s="770"/>
      <c r="S107" s="770"/>
      <c r="T107" s="770"/>
      <c r="U107" s="770"/>
      <c r="V107" s="770"/>
      <c r="W107" s="770"/>
      <c r="X107" s="770"/>
      <c r="Y107" s="770"/>
      <c r="Z107" s="770"/>
      <c r="AA107" s="770"/>
      <c r="AB107" s="770"/>
      <c r="AC107" s="770"/>
      <c r="AD107" s="783"/>
      <c r="AE107" s="784">
        <f>278-SUM(AE104:AE106)</f>
        <v>0</v>
      </c>
      <c r="AF107" s="919">
        <v>0</v>
      </c>
      <c r="AG107" s="920">
        <f>SUM(AE107:AF107)</f>
        <v>0</v>
      </c>
      <c r="AH107" s="921">
        <v>0</v>
      </c>
      <c r="AI107" s="922">
        <f>ROUND(89*AH107/AH$49,0)</f>
        <v>0</v>
      </c>
      <c r="AJ107" s="923">
        <f>ROUND(20*AI107/AI$72,0)</f>
        <v>0</v>
      </c>
    </row>
    <row r="108" spans="1:52" ht="8.1" customHeight="1" thickBot="1" x14ac:dyDescent="0.3">
      <c r="A108" s="159"/>
      <c r="B108" s="675"/>
      <c r="C108" s="786"/>
      <c r="D108" s="719"/>
      <c r="E108" s="719"/>
      <c r="F108" s="719"/>
      <c r="G108" s="787"/>
      <c r="H108" s="787"/>
      <c r="I108" s="787"/>
      <c r="J108" s="787"/>
      <c r="K108" s="787"/>
      <c r="L108" s="704"/>
      <c r="M108" s="719"/>
      <c r="N108" s="719"/>
      <c r="O108" s="719"/>
      <c r="P108" s="719"/>
      <c r="Q108" s="719"/>
      <c r="R108" s="719"/>
      <c r="S108" s="719"/>
      <c r="T108" s="719"/>
      <c r="U108" s="719"/>
      <c r="V108" s="719"/>
      <c r="W108" s="719"/>
      <c r="X108" s="719"/>
      <c r="Y108" s="719"/>
      <c r="Z108" s="719"/>
      <c r="AA108" s="719"/>
      <c r="AB108" s="719"/>
      <c r="AC108" s="719"/>
      <c r="AD108" s="788"/>
      <c r="AE108" s="789"/>
      <c r="AF108" s="829"/>
      <c r="AG108" s="842"/>
      <c r="AH108" s="835"/>
      <c r="AI108" s="705"/>
      <c r="AJ108" s="706"/>
    </row>
    <row r="110" spans="1:52" x14ac:dyDescent="0.25">
      <c r="B110" t="s">
        <v>743</v>
      </c>
      <c r="AG110" s="622">
        <v>1391611.88</v>
      </c>
    </row>
    <row r="111" spans="1:52" x14ac:dyDescent="0.25">
      <c r="B111" t="s">
        <v>744</v>
      </c>
      <c r="AG111" s="622">
        <v>-3731</v>
      </c>
    </row>
    <row r="112" spans="1:52" x14ac:dyDescent="0.25">
      <c r="B112" t="s">
        <v>623</v>
      </c>
      <c r="AG112" s="895">
        <f>SUM(AG110:AG111)</f>
        <v>1387880.88</v>
      </c>
    </row>
    <row r="113" spans="2:51" x14ac:dyDescent="0.25">
      <c r="B113" t="s">
        <v>745</v>
      </c>
      <c r="AD113" s="691"/>
      <c r="AG113" s="622">
        <f>AG112/'Procesy - AS IS'!AG4</f>
        <v>521.95595336592703</v>
      </c>
      <c r="AH113" s="622">
        <f>AG112/'Procesy - AS IS'!AH4</f>
        <v>1542.0898666666665</v>
      </c>
      <c r="AI113" s="622">
        <f>AG112/'Procesy - AS IS'!AI4</f>
        <v>2376.5083561643833</v>
      </c>
      <c r="AJ113" s="809" t="s">
        <v>314</v>
      </c>
    </row>
    <row r="114" spans="2:51" x14ac:dyDescent="0.25">
      <c r="AD114" s="691"/>
      <c r="AF114" s="622"/>
      <c r="AG114" s="622"/>
      <c r="AH114" s="622"/>
      <c r="AI114" s="809"/>
      <c r="AY114"/>
    </row>
    <row r="115" spans="2:51" x14ac:dyDescent="0.25">
      <c r="B115" t="s">
        <v>555</v>
      </c>
      <c r="C115" t="s">
        <v>556</v>
      </c>
    </row>
    <row r="116" spans="2:51" x14ac:dyDescent="0.25">
      <c r="B116" t="s">
        <v>557</v>
      </c>
      <c r="C116" t="s">
        <v>558</v>
      </c>
    </row>
    <row r="117" spans="2:51" x14ac:dyDescent="0.25">
      <c r="B117" t="s">
        <v>559</v>
      </c>
      <c r="C117" t="s">
        <v>560</v>
      </c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H117"/>
      <c r="AI117"/>
      <c r="AJ117"/>
      <c r="AK117"/>
      <c r="AL117"/>
      <c r="AR117"/>
      <c r="AS117"/>
      <c r="AT117"/>
      <c r="AU117"/>
      <c r="AV117"/>
      <c r="AW117"/>
      <c r="AX117"/>
      <c r="AY117"/>
    </row>
    <row r="118" spans="2:51" x14ac:dyDescent="0.25">
      <c r="B118" t="s">
        <v>561</v>
      </c>
      <c r="C118" t="s">
        <v>562</v>
      </c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H118"/>
      <c r="AI118"/>
      <c r="AJ118"/>
      <c r="AK118"/>
      <c r="AL118"/>
      <c r="AR118"/>
      <c r="AS118"/>
      <c r="AT118"/>
      <c r="AU118"/>
      <c r="AV118"/>
      <c r="AW118"/>
      <c r="AX118"/>
      <c r="AY118"/>
    </row>
    <row r="120" spans="2:51" x14ac:dyDescent="0.25">
      <c r="B120" t="s">
        <v>527</v>
      </c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</row>
    <row r="124" spans="2:51" x14ac:dyDescent="0.25">
      <c r="B124" s="1172" t="s">
        <v>1036</v>
      </c>
      <c r="C124" s="1173"/>
      <c r="D124" s="1173"/>
      <c r="E124" s="1173"/>
      <c r="F124" s="1173"/>
    </row>
    <row r="125" spans="2:51" x14ac:dyDescent="0.25">
      <c r="B125" s="1174"/>
      <c r="C125" s="1173"/>
      <c r="D125" s="1174"/>
      <c r="E125" s="1174"/>
      <c r="F125" s="1174"/>
    </row>
    <row r="126" spans="2:51" x14ac:dyDescent="0.25">
      <c r="B126" s="1355">
        <v>2019</v>
      </c>
      <c r="C126" s="1356"/>
      <c r="D126" s="1356"/>
      <c r="E126" s="1357"/>
      <c r="F126" s="1207">
        <v>1790330.15</v>
      </c>
    </row>
    <row r="127" spans="2:51" x14ac:dyDescent="0.25">
      <c r="B127" s="1355">
        <v>2020</v>
      </c>
      <c r="C127" s="1356"/>
      <c r="D127" s="1356"/>
      <c r="E127" s="1357"/>
      <c r="F127" s="1207">
        <v>1836846.26</v>
      </c>
    </row>
    <row r="128" spans="2:51" x14ac:dyDescent="0.25">
      <c r="B128" s="1355">
        <v>2021</v>
      </c>
      <c r="C128" s="1356"/>
      <c r="D128" s="1356"/>
      <c r="E128" s="1357"/>
      <c r="F128" s="1207">
        <v>3315277.2</v>
      </c>
    </row>
    <row r="129" spans="2:6" x14ac:dyDescent="0.25">
      <c r="B129" s="1355">
        <v>2022</v>
      </c>
      <c r="C129" s="1356"/>
      <c r="D129" s="1356"/>
      <c r="E129" s="1357"/>
      <c r="F129" s="1207">
        <v>3626492.5</v>
      </c>
    </row>
    <row r="130" spans="2:6" x14ac:dyDescent="0.25">
      <c r="B130" s="1355">
        <v>2023</v>
      </c>
      <c r="C130" s="1356"/>
      <c r="D130" s="1356"/>
      <c r="E130" s="1357"/>
      <c r="F130" s="1208">
        <v>3232936.51</v>
      </c>
    </row>
    <row r="131" spans="2:6" x14ac:dyDescent="0.25">
      <c r="B131" s="1352" t="s">
        <v>1118</v>
      </c>
      <c r="C131" s="1353"/>
      <c r="D131" s="1353"/>
      <c r="E131" s="1354"/>
      <c r="F131" s="1209">
        <f>AVERAGE(F126:F128)</f>
        <v>2314151.2033333336</v>
      </c>
    </row>
    <row r="132" spans="2:6" x14ac:dyDescent="0.25">
      <c r="B132" s="1352" t="s">
        <v>1041</v>
      </c>
      <c r="C132" s="1353"/>
      <c r="D132" s="1353"/>
      <c r="E132" s="1354"/>
      <c r="F132" s="1210">
        <f>AR15</f>
        <v>1061.6666666666667</v>
      </c>
    </row>
    <row r="133" spans="2:6" x14ac:dyDescent="0.25">
      <c r="B133" s="1352" t="s">
        <v>1035</v>
      </c>
      <c r="C133" s="1353"/>
      <c r="D133" s="1353"/>
      <c r="E133" s="1354"/>
      <c r="F133" s="1209">
        <f>F131/F132</f>
        <v>2179.7342574568288</v>
      </c>
    </row>
  </sheetData>
  <mergeCells count="8">
    <mergeCell ref="B132:E132"/>
    <mergeCell ref="B133:E133"/>
    <mergeCell ref="B126:E126"/>
    <mergeCell ref="B127:E127"/>
    <mergeCell ref="B128:E128"/>
    <mergeCell ref="B129:E129"/>
    <mergeCell ref="B130:E130"/>
    <mergeCell ref="B131:E131"/>
  </mergeCells>
  <conditionalFormatting sqref="D25:AE25">
    <cfRule type="cellIs" dxfId="37" priority="41" operator="equal">
      <formula>"N"</formula>
    </cfRule>
    <cfRule type="cellIs" dxfId="36" priority="42" operator="equal">
      <formula>"A"</formula>
    </cfRule>
  </conditionalFormatting>
  <conditionalFormatting sqref="D48:AE48">
    <cfRule type="cellIs" dxfId="35" priority="33" operator="equal">
      <formula>"N"</formula>
    </cfRule>
    <cfRule type="cellIs" dxfId="34" priority="34" operator="equal">
      <formula>"A"</formula>
    </cfRule>
  </conditionalFormatting>
  <conditionalFormatting sqref="D71:AE71">
    <cfRule type="cellIs" dxfId="33" priority="25" operator="equal">
      <formula>"N"</formula>
    </cfRule>
    <cfRule type="cellIs" dxfId="32" priority="26" operator="equal">
      <formula>"A"</formula>
    </cfRule>
  </conditionalFormatting>
  <conditionalFormatting sqref="D85:AE85">
    <cfRule type="cellIs" dxfId="31" priority="17" operator="equal">
      <formula>"N"</formula>
    </cfRule>
    <cfRule type="cellIs" dxfId="30" priority="18" operator="equal">
      <formula>"A"</formula>
    </cfRule>
  </conditionalFormatting>
  <conditionalFormatting sqref="D102:AE102">
    <cfRule type="cellIs" dxfId="29" priority="9" operator="equal">
      <formula>"N"</formula>
    </cfRule>
    <cfRule type="cellIs" dxfId="28" priority="10" operator="equal">
      <formula>"A"</formula>
    </cfRule>
  </conditionalFormatting>
  <conditionalFormatting sqref="D107:AE107">
    <cfRule type="cellIs" dxfId="27" priority="1" operator="equal">
      <formula>"N"</formula>
    </cfRule>
    <cfRule type="cellIs" dxfId="26" priority="2" operator="equal">
      <formula>"A"</formula>
    </cfRule>
  </conditionalFormatting>
  <conditionalFormatting sqref="D108:AF108">
    <cfRule type="cellIs" dxfId="25" priority="309" operator="equal">
      <formula>"N"</formula>
    </cfRule>
    <cfRule type="cellIs" dxfId="24" priority="310" operator="equal">
      <formula>"A"</formula>
    </cfRule>
  </conditionalFormatting>
  <pageMargins left="0.7" right="0.7" top="0.75" bottom="0.75" header="0.3" footer="0.3"/>
  <pageSetup paperSize="9" scale="67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</sheetPr>
  <dimension ref="A1:AZ451"/>
  <sheetViews>
    <sheetView showGridLines="0" zoomScaleNormal="100" zoomScaleSheetLayoutView="90" workbookViewId="0">
      <pane xSplit="3" ySplit="2" topLeftCell="D179" activePane="bottomRight" state="frozen"/>
      <selection activeCell="C47" sqref="C47"/>
      <selection pane="topRight" activeCell="C47" sqref="C47"/>
      <selection pane="bottomLeft" activeCell="C47" sqref="C47"/>
      <selection pane="bottomRight" activeCell="C47" sqref="C47"/>
    </sheetView>
  </sheetViews>
  <sheetFormatPr defaultColWidth="8.85546875" defaultRowHeight="15" outlineLevelRow="1" x14ac:dyDescent="0.25"/>
  <cols>
    <col min="2" max="2" width="21.42578125" customWidth="1"/>
    <col min="3" max="3" width="34.5703125" customWidth="1"/>
    <col min="4" max="4" width="14.42578125" style="227" customWidth="1"/>
    <col min="5" max="5" width="14.140625" style="227" customWidth="1"/>
    <col min="6" max="6" width="14.85546875" style="227" customWidth="1"/>
    <col min="7" max="8" width="16.5703125" style="227" customWidth="1"/>
    <col min="9" max="16" width="14.85546875" style="227" customWidth="1"/>
    <col min="17" max="17" width="17.140625" style="227" customWidth="1"/>
    <col min="18" max="21" width="14.85546875" style="227" customWidth="1"/>
    <col min="22" max="22" width="11.140625" style="227" customWidth="1"/>
    <col min="23" max="23" width="16.85546875" style="227" customWidth="1"/>
    <col min="24" max="29" width="14.85546875" style="227" customWidth="1"/>
    <col min="30" max="30" width="21.85546875" style="227" customWidth="1"/>
    <col min="31" max="31" width="10.42578125" style="227" customWidth="1"/>
    <col min="32" max="32" width="8.42578125" style="227" bestFit="1" customWidth="1"/>
    <col min="33" max="33" width="11.42578125" style="227" customWidth="1"/>
    <col min="34" max="34" width="13.42578125" style="227" customWidth="1"/>
    <col min="35" max="35" width="11.5703125" style="227" customWidth="1"/>
    <col min="36" max="36" width="11.42578125" style="227" customWidth="1"/>
    <col min="37" max="51" width="8.42578125" style="227" customWidth="1"/>
  </cols>
  <sheetData>
    <row r="1" spans="1:52" ht="15.75" thickBot="1" x14ac:dyDescent="0.3">
      <c r="C1" s="227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59"/>
      <c r="S1" s="659"/>
      <c r="T1" s="659"/>
      <c r="U1" s="659"/>
      <c r="V1" s="659"/>
      <c r="W1" s="659"/>
      <c r="X1" s="659"/>
      <c r="Y1" s="659"/>
      <c r="Z1" s="659"/>
      <c r="AA1" s="659"/>
      <c r="AB1" s="659"/>
      <c r="AC1" s="659"/>
      <c r="AD1" s="659"/>
      <c r="AE1" s="659"/>
      <c r="AF1" s="659"/>
      <c r="AG1" s="659"/>
      <c r="AH1" s="659"/>
      <c r="AI1" s="659"/>
      <c r="AJ1" s="659"/>
    </row>
    <row r="2" spans="1:52" s="649" customFormat="1" ht="77.45" customHeight="1" thickBot="1" x14ac:dyDescent="0.3">
      <c r="B2" s="230" t="s">
        <v>211</v>
      </c>
      <c r="C2" s="645" t="s">
        <v>512</v>
      </c>
      <c r="D2" s="646" t="str">
        <f>'Procesy - AS IS'!D2</f>
        <v>Prijatie oznámenia MZV</v>
      </c>
      <c r="E2" s="646" t="str">
        <f>'Procesy - AS IS'!E2</f>
        <v>Príprava na kontrolu pred vydaním poverenia</v>
      </c>
      <c r="F2" s="646" t="str">
        <f>'Procesy - AS IS'!F2</f>
        <v>Vystavenie poverenia</v>
      </c>
      <c r="G2" s="646" t="str">
        <f>'Procesy - AS IS'!G2</f>
        <v>Oboznámenie sa s predchádzajúcimi zisteniami</v>
      </c>
      <c r="H2" s="646" t="str">
        <f>'Procesy - AS IS'!H2</f>
        <v>Oboznámenie sa s výškou predchádzajúcich sankcií</v>
      </c>
      <c r="I2" s="646" t="str">
        <f>'Procesy - AS IS'!I2</f>
        <v>Oboznámenie sa s uhrádzaním sankcií</v>
      </c>
      <c r="J2" s="646" t="str">
        <f>'Procesy - AS IS'!J2</f>
        <v>Oboznámenie sa s plnením nápravných opatrení</v>
      </c>
      <c r="K2" s="646" t="str">
        <f>'Procesy - AS IS'!K2</f>
        <v>Zber externých údajov pri príprave kontroly</v>
      </c>
      <c r="L2" s="646" t="str">
        <f>'Procesy - AS IS'!L2</f>
        <v>Vypracovanie oznámenia o začatí kontroly</v>
      </c>
      <c r="M2" s="646" t="str">
        <f>'Procesy - AS IS'!M2</f>
        <v>Vypracovanie zoznamu požadovanej dokumentácie</v>
      </c>
      <c r="N2" s="646" t="str">
        <f>'Procesy - AS IS'!N2</f>
        <v>Vypracovanie zoznamu kontrolných otázok</v>
      </c>
      <c r="O2" s="646" t="str">
        <f>'Procesy - AS IS'!O2</f>
        <v>Administratívna príprava kontroly</v>
      </c>
      <c r="P2" s="646" t="str">
        <f>'Procesy - AS IS'!P2</f>
        <v>Uloženie dôkazov z ohliadky do spisu</v>
      </c>
      <c r="Q2" s="646" t="str">
        <f>'Procesy - AS IS'!Q2</f>
        <v>Vypracovanie zápisu z ohliadky / čiastkového / priebežného protokolu</v>
      </c>
      <c r="R2" s="646" t="str">
        <f>'Procesy - AS IS'!R2</f>
        <v>Vypracovanie výstupu z kontroly (protokol, správa)</v>
      </c>
      <c r="S2" s="646" t="str">
        <f>'Procesy - AS IS'!S2</f>
        <v>Vypracovanie výstupu z kontroly (záznam, správa)</v>
      </c>
      <c r="T2" s="646" t="str">
        <f>'Procesy - AS IS'!T2</f>
        <v>Vypracovanie stanoviska k pripomienkam kontrolovaného subjektu</v>
      </c>
      <c r="U2" s="646" t="str">
        <f>'Procesy - AS IS'!U2</f>
        <v>Vypracovanie zápisnice z prerokovania výstupu z kontroly</v>
      </c>
      <c r="V2" s="646" t="str">
        <f>'Procesy - AS IS'!V2</f>
        <v>Ukončenie spisu</v>
      </c>
      <c r="W2" s="646" t="str">
        <f>'Procesy - AS IS'!W2</f>
        <v>Vypracovanie a zaslanie oznámenia o začatí správneho konania</v>
      </c>
      <c r="X2" s="646" t="str">
        <f>'Procesy - AS IS'!X2</f>
        <v>Vypracovanie zápisnice z ústneho pojednávania</v>
      </c>
      <c r="Y2" s="646" t="str">
        <f>'Procesy - AS IS'!Y2</f>
        <v>Vypracovanie rozhodnutia o sankcii</v>
      </c>
      <c r="Z2" s="646" t="str">
        <f>'Procesy - AS IS'!Z2</f>
        <v>Vypracovanie upovedomenia o postúpení odvolania</v>
      </c>
      <c r="AA2" s="646" t="str">
        <f>'Procesy - AS IS'!AA2</f>
        <v>Žurnalizácia spisu</v>
      </c>
      <c r="AB2" s="725" t="str">
        <f>'Procesy - AS IS'!AB2</f>
        <v>Vypracovanie predkladacej správy k odvolaniu</v>
      </c>
      <c r="AC2" s="660" t="str">
        <f>'Procesy - AS IS'!AC2</f>
        <v>Vypracovanie rozhodnutia o odvolaní</v>
      </c>
      <c r="AD2" s="1189" t="s">
        <v>1107</v>
      </c>
      <c r="AE2" s="676" t="str">
        <f>'Procesy - AS IS'!AD2</f>
        <v>Trvanie spolu</v>
      </c>
      <c r="AF2" s="660" t="s">
        <v>589</v>
      </c>
      <c r="AG2" s="676" t="s">
        <v>312</v>
      </c>
      <c r="AH2" s="660" t="s">
        <v>517</v>
      </c>
      <c r="AI2" s="660" t="s">
        <v>518</v>
      </c>
      <c r="AJ2" s="685" t="s">
        <v>519</v>
      </c>
      <c r="AK2" s="643"/>
      <c r="AL2" s="194"/>
      <c r="AM2" s="648"/>
      <c r="AN2" s="648"/>
      <c r="AO2" s="648"/>
      <c r="AP2" s="648"/>
      <c r="AQ2" s="648"/>
      <c r="AR2" s="648"/>
      <c r="AS2" s="648"/>
      <c r="AT2" s="648"/>
      <c r="AU2" s="648"/>
      <c r="AV2" s="648"/>
      <c r="AW2" s="648"/>
      <c r="AX2" s="648"/>
      <c r="AY2" s="648"/>
      <c r="AZ2" s="648"/>
    </row>
    <row r="3" spans="1:52" x14ac:dyDescent="0.25">
      <c r="B3" s="655"/>
      <c r="C3" s="656"/>
      <c r="D3" s="662" t="s">
        <v>513</v>
      </c>
      <c r="E3" s="661" t="s">
        <v>513</v>
      </c>
      <c r="F3" s="661" t="s">
        <v>513</v>
      </c>
      <c r="G3" s="665" t="s">
        <v>513</v>
      </c>
      <c r="H3" s="665" t="s">
        <v>513</v>
      </c>
      <c r="I3" s="665" t="s">
        <v>513</v>
      </c>
      <c r="J3" s="665" t="s">
        <v>513</v>
      </c>
      <c r="K3" s="665" t="s">
        <v>513</v>
      </c>
      <c r="L3" s="665" t="s">
        <v>513</v>
      </c>
      <c r="M3" s="665" t="s">
        <v>513</v>
      </c>
      <c r="N3" s="665" t="s">
        <v>513</v>
      </c>
      <c r="O3" s="665" t="s">
        <v>513</v>
      </c>
      <c r="P3" s="665" t="s">
        <v>513</v>
      </c>
      <c r="Q3" s="665" t="s">
        <v>513</v>
      </c>
      <c r="R3" s="665" t="s">
        <v>513</v>
      </c>
      <c r="S3" s="665" t="s">
        <v>513</v>
      </c>
      <c r="T3" s="665" t="s">
        <v>513</v>
      </c>
      <c r="U3" s="665" t="s">
        <v>513</v>
      </c>
      <c r="V3" s="665" t="s">
        <v>513</v>
      </c>
      <c r="W3" s="665" t="s">
        <v>513</v>
      </c>
      <c r="X3" s="665" t="s">
        <v>513</v>
      </c>
      <c r="Y3" s="665" t="s">
        <v>513</v>
      </c>
      <c r="Z3" s="665" t="s">
        <v>513</v>
      </c>
      <c r="AA3" s="665" t="s">
        <v>513</v>
      </c>
      <c r="AB3" s="665" t="s">
        <v>513</v>
      </c>
      <c r="AC3" s="661" t="s">
        <v>513</v>
      </c>
      <c r="AD3" s="808"/>
      <c r="AE3" s="808" t="s">
        <v>513</v>
      </c>
      <c r="AF3" s="727"/>
      <c r="AG3" s="708"/>
      <c r="AH3" s="924"/>
      <c r="AI3" s="663"/>
      <c r="AJ3" s="686"/>
      <c r="AL3" s="232"/>
      <c r="AM3"/>
      <c r="AZ3" s="227"/>
    </row>
    <row r="4" spans="1:52" x14ac:dyDescent="0.25">
      <c r="B4" s="666" t="s">
        <v>158</v>
      </c>
      <c r="C4" s="681" t="s">
        <v>521</v>
      </c>
      <c r="D4" s="698">
        <f t="shared" ref="D4:AC4" si="0">D8*$AG8/$AG4+D94*$AG94/$AG4+D194*$AG194/$AG4+D294*$AG294/$AG4+D352*$AG352/$AG4+D424*$AG424/$AG4</f>
        <v>0</v>
      </c>
      <c r="E4" s="698">
        <f t="shared" si="0"/>
        <v>-0.13220909483371504</v>
      </c>
      <c r="F4" s="698">
        <f t="shared" si="0"/>
        <v>-0.1605920846547024</v>
      </c>
      <c r="G4" s="698">
        <f t="shared" si="0"/>
        <v>-2.9588924232334382</v>
      </c>
      <c r="H4" s="698">
        <f t="shared" si="0"/>
        <v>0</v>
      </c>
      <c r="I4" s="698">
        <f t="shared" si="0"/>
        <v>0</v>
      </c>
      <c r="J4" s="698">
        <f t="shared" si="0"/>
        <v>0</v>
      </c>
      <c r="K4" s="698">
        <f t="shared" si="0"/>
        <v>0</v>
      </c>
      <c r="L4" s="698">
        <f t="shared" si="0"/>
        <v>-0.15541887722926254</v>
      </c>
      <c r="M4" s="698">
        <f t="shared" si="0"/>
        <v>-0.36439025295950755</v>
      </c>
      <c r="N4" s="698">
        <f t="shared" si="0"/>
        <v>0</v>
      </c>
      <c r="O4" s="698">
        <f t="shared" si="0"/>
        <v>0</v>
      </c>
      <c r="P4" s="698">
        <f t="shared" si="0"/>
        <v>-2.7047059528741824</v>
      </c>
      <c r="Q4" s="698">
        <f t="shared" si="0"/>
        <v>0</v>
      </c>
      <c r="R4" s="698">
        <f t="shared" si="0"/>
        <v>-3.5245270458869729</v>
      </c>
      <c r="S4" s="698">
        <f t="shared" si="0"/>
        <v>-4.3699449090508056</v>
      </c>
      <c r="T4" s="698">
        <f t="shared" si="0"/>
        <v>-1.5954168973269893</v>
      </c>
      <c r="U4" s="698">
        <f t="shared" si="0"/>
        <v>-1.1526828252331784</v>
      </c>
      <c r="V4" s="698">
        <f t="shared" si="0"/>
        <v>-1.2457164249148063</v>
      </c>
      <c r="W4" s="698">
        <f t="shared" si="0"/>
        <v>-0.14791712561194076</v>
      </c>
      <c r="X4" s="698">
        <f t="shared" si="0"/>
        <v>0</v>
      </c>
      <c r="Y4" s="698">
        <f t="shared" si="0"/>
        <v>-1.6564635363547819</v>
      </c>
      <c r="Z4" s="698">
        <f t="shared" si="0"/>
        <v>-2.0981805418877595E-2</v>
      </c>
      <c r="AA4" s="698">
        <f t="shared" si="0"/>
        <v>-3.1675333334490366E-2</v>
      </c>
      <c r="AB4" s="698">
        <f t="shared" si="0"/>
        <v>-0.12751519540283926</v>
      </c>
      <c r="AC4" s="698">
        <f t="shared" si="0"/>
        <v>-1.5638043218552153</v>
      </c>
      <c r="AD4" s="749"/>
      <c r="AE4" s="749">
        <f>AE8*$AG8/$AG4+AE94*$AG94/$AG4+AE194*$AG194/$AG4+AE294*$AG294/$AG4+AE352*$AG352/$AG4+AE424*$AG424/$AG4</f>
        <v>-119.6727736059658</v>
      </c>
      <c r="AF4" s="1122">
        <f>-AG4/('Procesy - AS IS'!AG4+AG4)</f>
        <v>-0.33943623587157323</v>
      </c>
      <c r="AG4" s="795">
        <f>(AG8+AG94+AG194+AG294+AG352+AG424)*(1+AG$450)</f>
        <v>1366.3494732766439</v>
      </c>
      <c r="AH4" s="925">
        <f>(AH8+AH94+AH194+AH294+AH352+AH424)*(1+AH$450)</f>
        <v>476.6914973121859</v>
      </c>
      <c r="AI4" s="734">
        <f>(AI8+AI94+AI194+AI294+AI352+AI424)*(1+AI$450)</f>
        <v>308.83556960981633</v>
      </c>
      <c r="AJ4" s="748">
        <f>(AJ8+AJ94+AJ194+AJ294+AJ352+AJ424)</f>
        <v>50.470225551432797</v>
      </c>
      <c r="AL4" s="232"/>
      <c r="AM4"/>
      <c r="AZ4" s="227"/>
    </row>
    <row r="5" spans="1:52" ht="30" x14ac:dyDescent="0.25">
      <c r="B5" s="666"/>
      <c r="C5" s="1107" t="s">
        <v>1003</v>
      </c>
      <c r="D5" s="1108">
        <f>D4</f>
        <v>0</v>
      </c>
      <c r="E5" s="1108">
        <f t="shared" ref="E5:AC5" si="1">E4</f>
        <v>-0.13220909483371504</v>
      </c>
      <c r="F5" s="1108">
        <f t="shared" si="1"/>
        <v>-0.1605920846547024</v>
      </c>
      <c r="G5" s="1108">
        <f t="shared" si="1"/>
        <v>-2.9588924232334382</v>
      </c>
      <c r="H5" s="1108">
        <f t="shared" si="1"/>
        <v>0</v>
      </c>
      <c r="I5" s="1108">
        <f t="shared" si="1"/>
        <v>0</v>
      </c>
      <c r="J5" s="1108">
        <f t="shared" si="1"/>
        <v>0</v>
      </c>
      <c r="K5" s="1108">
        <f t="shared" si="1"/>
        <v>0</v>
      </c>
      <c r="L5" s="1108">
        <f t="shared" si="1"/>
        <v>-0.15541887722926254</v>
      </c>
      <c r="M5" s="1108">
        <f t="shared" si="1"/>
        <v>-0.36439025295950755</v>
      </c>
      <c r="N5" s="1108">
        <f t="shared" si="1"/>
        <v>0</v>
      </c>
      <c r="O5" s="1108">
        <f t="shared" si="1"/>
        <v>0</v>
      </c>
      <c r="P5" s="1108">
        <f t="shared" si="1"/>
        <v>-2.7047059528741824</v>
      </c>
      <c r="Q5" s="1108">
        <f t="shared" si="1"/>
        <v>0</v>
      </c>
      <c r="R5" s="1108">
        <f t="shared" si="1"/>
        <v>-3.5245270458869729</v>
      </c>
      <c r="S5" s="1108">
        <f t="shared" si="1"/>
        <v>-4.3699449090508056</v>
      </c>
      <c r="T5" s="1108">
        <f t="shared" si="1"/>
        <v>-1.5954168973269893</v>
      </c>
      <c r="U5" s="1108">
        <f t="shared" si="1"/>
        <v>-1.1526828252331784</v>
      </c>
      <c r="V5" s="1108">
        <f t="shared" si="1"/>
        <v>-1.2457164249148063</v>
      </c>
      <c r="W5" s="1108">
        <f t="shared" si="1"/>
        <v>-0.14791712561194076</v>
      </c>
      <c r="X5" s="1108">
        <f t="shared" si="1"/>
        <v>0</v>
      </c>
      <c r="Y5" s="1108">
        <f t="shared" si="1"/>
        <v>-1.6564635363547819</v>
      </c>
      <c r="Z5" s="1108">
        <f t="shared" si="1"/>
        <v>-2.0981805418877595E-2</v>
      </c>
      <c r="AA5" s="1108">
        <f t="shared" si="1"/>
        <v>-3.1675333334490366E-2</v>
      </c>
      <c r="AB5" s="1108">
        <f t="shared" si="1"/>
        <v>-0.12751519540283926</v>
      </c>
      <c r="AC5" s="1108">
        <f t="shared" si="1"/>
        <v>-1.5638043218552153</v>
      </c>
      <c r="AD5" s="1117"/>
      <c r="AE5" s="1117">
        <f>SUM(D5:AC5)</f>
        <v>-21.912854106175708</v>
      </c>
      <c r="AF5" s="1118">
        <f>AE5/'Procesy - AS IS'!AD4</f>
        <v>-0.33914728416892281</v>
      </c>
      <c r="AG5" s="1126">
        <f>(1/(1+AF5))*'Procesy - AS IS'!AG4-'Procesy - AS IS'!AG4</f>
        <v>1364.5894266638315</v>
      </c>
      <c r="AH5" s="1127">
        <f>AG5*'Procesy - AS IS'!AH4/'Procesy - AS IS'!AG4</f>
        <v>461.87682737775418</v>
      </c>
      <c r="AI5" s="1120">
        <f>AG5*'Procesy - AS IS'!AI4/'Procesy - AS IS'!AG4</f>
        <v>299.70674132067609</v>
      </c>
      <c r="AJ5" s="1121"/>
      <c r="AL5" s="232"/>
      <c r="AM5"/>
      <c r="AZ5" s="227"/>
    </row>
    <row r="6" spans="1:52" ht="45" x14ac:dyDescent="0.25">
      <c r="B6" s="666"/>
      <c r="C6" s="1107" t="s">
        <v>1022</v>
      </c>
      <c r="D6" s="1129">
        <v>0.05</v>
      </c>
      <c r="E6" s="1129">
        <v>0.20338905929781487</v>
      </c>
      <c r="F6" s="1129">
        <v>0.35407404062598308</v>
      </c>
      <c r="G6" s="1129">
        <v>0.27619952236267503</v>
      </c>
      <c r="H6" s="1130">
        <v>0.15</v>
      </c>
      <c r="I6" s="1130">
        <v>0.12</v>
      </c>
      <c r="J6" s="1130">
        <v>0.3</v>
      </c>
      <c r="K6" s="1130">
        <v>0.6</v>
      </c>
      <c r="L6" s="1130">
        <v>0.40218473611217187</v>
      </c>
      <c r="M6" s="1129">
        <v>0.31965499433320943</v>
      </c>
      <c r="N6" s="1129">
        <v>0.4</v>
      </c>
      <c r="O6" s="1129">
        <v>0.6</v>
      </c>
      <c r="P6" s="1129">
        <v>0.44947841979812458</v>
      </c>
      <c r="Q6" s="1129">
        <v>0.35</v>
      </c>
      <c r="R6" s="1129">
        <v>0.3510458058840038</v>
      </c>
      <c r="S6" s="1129">
        <v>0.33978871952098</v>
      </c>
      <c r="T6" s="1129">
        <v>0.3867706315979369</v>
      </c>
      <c r="U6" s="1129">
        <v>0.33509275837345048</v>
      </c>
      <c r="V6" s="1129">
        <v>0.63593234086424799</v>
      </c>
      <c r="W6" s="1129">
        <v>0.29720433018410525</v>
      </c>
      <c r="X6" s="1129">
        <v>0.1</v>
      </c>
      <c r="Y6" s="1129">
        <v>0.37249393380499218</v>
      </c>
      <c r="Z6" s="1129">
        <v>0.43430109664310951</v>
      </c>
      <c r="AA6" s="1129">
        <v>0.49963719751159863</v>
      </c>
      <c r="AB6" s="1129">
        <v>0.34552069322808415</v>
      </c>
      <c r="AC6" s="1129">
        <v>0.21128689184441654</v>
      </c>
      <c r="AD6" s="1117"/>
      <c r="AE6" s="1117"/>
      <c r="AF6" s="1118"/>
      <c r="AG6" s="1126"/>
      <c r="AH6" s="1119"/>
      <c r="AI6" s="1120"/>
      <c r="AJ6" s="1121"/>
      <c r="AL6" s="232"/>
      <c r="AM6"/>
      <c r="AZ6" s="227"/>
    </row>
    <row r="7" spans="1:52" ht="60" x14ac:dyDescent="0.25">
      <c r="B7" s="666"/>
      <c r="C7" s="1211" t="s">
        <v>1117</v>
      </c>
      <c r="D7" s="1131">
        <f>-D6*'Procesy - AS IS'!D5</f>
        <v>-1.2500000000000001E-2</v>
      </c>
      <c r="E7" s="1108">
        <v>-0.13220909483371501</v>
      </c>
      <c r="F7" s="1108">
        <v>-0.1605920846547024</v>
      </c>
      <c r="G7" s="1108">
        <v>-2.9588924232334382</v>
      </c>
      <c r="H7" s="1109">
        <v>0</v>
      </c>
      <c r="I7" s="1109">
        <v>0</v>
      </c>
      <c r="J7" s="1109">
        <v>0</v>
      </c>
      <c r="K7" s="1109">
        <v>0</v>
      </c>
      <c r="L7" s="1109">
        <v>-0.15541887722926254</v>
      </c>
      <c r="M7" s="1108">
        <v>-0.36439025295950755</v>
      </c>
      <c r="N7" s="1131">
        <f>-N6*'Procesy - AS IS'!N5</f>
        <v>-0.8</v>
      </c>
      <c r="O7" s="1131">
        <f>-O6*'Procesy - AS IS'!O5</f>
        <v>-1.7999999999999998</v>
      </c>
      <c r="P7" s="1108">
        <v>-2.7047059528741824</v>
      </c>
      <c r="Q7" s="1131">
        <f>-Q6*'Procesy - AS IS'!Q5</f>
        <v>-0.17499999999999999</v>
      </c>
      <c r="R7" s="1108">
        <v>-3.5245270458869729</v>
      </c>
      <c r="S7" s="1108">
        <v>-4.3699449090508056</v>
      </c>
      <c r="T7" s="1108">
        <v>-1.5954168973269893</v>
      </c>
      <c r="U7" s="1108">
        <v>-1.1526828252331784</v>
      </c>
      <c r="V7" s="1108">
        <v>-1.2457164249148063</v>
      </c>
      <c r="W7" s="1108">
        <v>-0.14791712561194076</v>
      </c>
      <c r="X7" s="1131">
        <f>-X6*'Procesy - AS IS'!X5</f>
        <v>-0.05</v>
      </c>
      <c r="Y7" s="1108">
        <v>-1.6564635363547799</v>
      </c>
      <c r="Z7" s="1108">
        <v>-2.0981805418877595E-2</v>
      </c>
      <c r="AA7" s="1108">
        <v>-3.1675333334490366E-2</v>
      </c>
      <c r="AB7" s="1108">
        <v>-0.12751519540283926</v>
      </c>
      <c r="AC7" s="1108">
        <v>-1.5638043218552153</v>
      </c>
      <c r="AD7" s="1205">
        <f>Faktory!C51</f>
        <v>10</v>
      </c>
      <c r="AE7" s="1204">
        <f>SUM(D7:AD7)</f>
        <v>-14.750354106175706</v>
      </c>
      <c r="AF7" s="1118">
        <f>AE7/'Procesy - AS IS'!AD5</f>
        <v>-0.20815717916419804</v>
      </c>
      <c r="AG7" s="1126">
        <f>(1/(1+AF7))*'Procesy - AS IS'!AG5-'Procesy - AS IS'!AG5</f>
        <v>736.05529572719797</v>
      </c>
      <c r="AH7" s="1119">
        <f>(AG7+'Procesy - AS IS'!AG5)*0.4-'Procesy - AS IS'!AH5</f>
        <v>440.42211829087933</v>
      </c>
      <c r="AI7" s="1120">
        <f>AH7*'Procesy - AS IS'!AI3</f>
        <v>283.96826518138829</v>
      </c>
      <c r="AJ7" s="1121"/>
      <c r="AL7"/>
      <c r="AM7"/>
      <c r="AZ7" s="227"/>
    </row>
    <row r="8" spans="1:52" x14ac:dyDescent="0.25">
      <c r="A8" s="159"/>
      <c r="B8" s="657" t="s">
        <v>532</v>
      </c>
      <c r="C8" s="658" t="s">
        <v>550</v>
      </c>
      <c r="D8" s="726">
        <f>D9*$AG9/($AG8-$AG93)+D23*$AG23/($AG8-$AG93)+D37*$AG37/($AG8-$AG93)+D51*$AG51/($AG8-$AG93)+D65*$AG65/($AG8-$AG93)+D79*$AG79/($AG8-$AG93)</f>
        <v>0</v>
      </c>
      <c r="E8" s="652">
        <f>E9*$AG9/($AG8-$AG93)+E23*$AG23/($AG8-$AG93)+E37*$AG37/($AG8-$AG93)+E51*$AG51/($AG8-$AG93)+E65*$AG65/($AG8-$AG93)+E79*$AG79/($AG8-$AG93)</f>
        <v>0</v>
      </c>
      <c r="F8" s="652">
        <f>F9*$AG9/($AG8-$AG93)+F23*$AG23/($AG8-$AG93)+F37*$AG37/($AG8-$AG93)+F51*$AG51/($AG8-$AG93)+F65*$AG65/($AG8-$AG93)+F79*$AG79/($AG8-$AG93)</f>
        <v>-5.9648341023987982E-3</v>
      </c>
      <c r="G8" s="653">
        <f>G9*$AG9/($AG8-$AG93)+G23*$AG23/($AG8-$AG93)+G37*$AG37/($AG8-$AG93)+G51*$AG51/($AG8-$AG93)+G65*$AG65/($AG8-$AG93)+G79*$AG79/($AG8-$AG93)</f>
        <v>-3.5834410012601583</v>
      </c>
      <c r="H8" s="654"/>
      <c r="I8" s="654"/>
      <c r="J8" s="654"/>
      <c r="K8" s="654"/>
      <c r="L8" s="654"/>
      <c r="M8" s="652"/>
      <c r="N8" s="653">
        <f>N9*$AG9/($AG8-$AG93)+N23*$AG23/($AG8-$AG93)+N37*$AG37/($AG8-$AG93)+N51*$AG51/($AG8-$AG93)+N65*$AG65/($AG8-$AG93)+N79*$AG79/($AG8-$AG93)</f>
        <v>0</v>
      </c>
      <c r="O8" s="653"/>
      <c r="P8" s="653">
        <f t="shared" ref="P8:AC8" si="2">P9*$AG9/($AG8-$AG93)+P23*$AG23/($AG8-$AG93)+P37*$AG37/($AG8-$AG93)+P51*$AG51/($AG8-$AG93)+P65*$AG65/($AG8-$AG93)+P79*$AG79/($AG8-$AG93)</f>
        <v>-5.3839500276586474</v>
      </c>
      <c r="Q8" s="653">
        <f t="shared" si="2"/>
        <v>0</v>
      </c>
      <c r="R8" s="653">
        <f t="shared" si="2"/>
        <v>-4.4863934933922094</v>
      </c>
      <c r="S8" s="653">
        <f t="shared" si="2"/>
        <v>-6.6283866903726176</v>
      </c>
      <c r="T8" s="652">
        <f t="shared" si="2"/>
        <v>-2.0490160444270273</v>
      </c>
      <c r="U8" s="652">
        <f t="shared" si="2"/>
        <v>-1.4361312828474821</v>
      </c>
      <c r="V8" s="652">
        <f t="shared" si="2"/>
        <v>-3.5758794147695236</v>
      </c>
      <c r="W8" s="652">
        <f t="shared" si="2"/>
        <v>-0.33786784017006494</v>
      </c>
      <c r="X8" s="652">
        <f t="shared" si="2"/>
        <v>0</v>
      </c>
      <c r="Y8" s="652">
        <f t="shared" si="2"/>
        <v>-2.3686637782247368</v>
      </c>
      <c r="Z8" s="652">
        <f t="shared" si="2"/>
        <v>-5.7980911132983808E-2</v>
      </c>
      <c r="AA8" s="652">
        <f t="shared" si="2"/>
        <v>-3.8166656892965736E-2</v>
      </c>
      <c r="AB8" s="652">
        <f t="shared" si="2"/>
        <v>-0.21742841674868926</v>
      </c>
      <c r="AC8" s="652">
        <f t="shared" si="2"/>
        <v>-0.60879956689632986</v>
      </c>
      <c r="AD8" s="803"/>
      <c r="AE8" s="803">
        <f>SUM(AE9:AE93)</f>
        <v>-173.75831846707277</v>
      </c>
      <c r="AF8" s="790">
        <f>-SUM(AG9:AG92)/('Procesy - AS IS'!AG6+SUM(AG9:AG92))</f>
        <v>-0.35948852004365583</v>
      </c>
      <c r="AG8" s="796">
        <f>SUM(AG9:AG93)</f>
        <v>335.62885555268787</v>
      </c>
      <c r="AH8" s="926">
        <f>SUM(AH9:AH93)</f>
        <v>132.2901012962032</v>
      </c>
      <c r="AI8" s="730">
        <f>SUM(AI9:AI93)</f>
        <v>94.498497103614483</v>
      </c>
      <c r="AJ8" s="731">
        <f>SUM(AJ9:AJ93)</f>
        <v>12.16254177966591</v>
      </c>
      <c r="AL8" s="232"/>
      <c r="AM8"/>
      <c r="AZ8" s="227"/>
    </row>
    <row r="9" spans="1:52" ht="42.6" customHeight="1" x14ac:dyDescent="0.25">
      <c r="A9" s="159">
        <v>1</v>
      </c>
      <c r="B9" s="668" t="str">
        <f>'Procesy - AS IS'!B7</f>
        <v>Meranie č. 1</v>
      </c>
      <c r="C9" s="671" t="str">
        <f>'Procesy - AS IS'!C7</f>
        <v>AUTOGRAND, a.s., Zaobchádzanie so znečisťujúcimi látkami, 1045/2017</v>
      </c>
      <c r="D9" s="709">
        <f>-'Procesy - AS IS'!D9*'Procesy - ∆'!D22</f>
        <v>0</v>
      </c>
      <c r="E9" s="669">
        <f>-'Procesy - AS IS'!E9*'Procesy - ∆'!E22</f>
        <v>0</v>
      </c>
      <c r="F9" s="669">
        <f>-'Procesy - AS IS'!F9*'Procesy - ∆'!F22</f>
        <v>0</v>
      </c>
      <c r="G9" s="669">
        <f>-'Procesy - AS IS'!G9*'Procesy - ∆'!G22</f>
        <v>-3.5999999999999996</v>
      </c>
      <c r="H9" s="669" t="s">
        <v>555</v>
      </c>
      <c r="I9" s="669" t="s">
        <v>555</v>
      </c>
      <c r="J9" s="669" t="s">
        <v>555</v>
      </c>
      <c r="K9" s="669" t="s">
        <v>555</v>
      </c>
      <c r="L9" s="669" t="s">
        <v>555</v>
      </c>
      <c r="M9" s="669" t="s">
        <v>555</v>
      </c>
      <c r="N9" s="669">
        <f>-'Procesy - AS IS'!N9*'Procesy - ∆'!N22</f>
        <v>0</v>
      </c>
      <c r="O9" s="669" t="s">
        <v>559</v>
      </c>
      <c r="P9" s="669">
        <f>-'Procesy - AS IS'!P9*'Procesy - ∆'!P22</f>
        <v>-7.2</v>
      </c>
      <c r="Q9" s="669">
        <f>-'Procesy - AS IS'!Q9*'Procesy - ∆'!Q22</f>
        <v>0</v>
      </c>
      <c r="R9" s="669">
        <f>-'Procesy - AS IS'!R9*'Procesy - ∆'!R22</f>
        <v>-3.5265306122448985</v>
      </c>
      <c r="S9" s="669">
        <f>-'Procesy - AS IS'!S9*'Procesy - ∆'!S22</f>
        <v>-6.0734693877551029</v>
      </c>
      <c r="T9" s="669">
        <f>-'Procesy - AS IS'!T9*'Procesy - ∆'!T22</f>
        <v>-2.3510204081632655</v>
      </c>
      <c r="U9" s="669">
        <f>-'Procesy - AS IS'!U9*'Procesy - ∆'!U22</f>
        <v>-1.5183673469387755</v>
      </c>
      <c r="V9" s="669">
        <f>-'Procesy - AS IS'!V9*'Procesy - ∆'!V22</f>
        <v>-4</v>
      </c>
      <c r="W9" s="669">
        <f>-'Procesy - AS IS'!W9*'Procesy - ∆'!W22</f>
        <v>-0.30612244897959184</v>
      </c>
      <c r="X9" s="669">
        <f>-'Procesy - AS IS'!X9*'Procesy - ∆'!X22</f>
        <v>0</v>
      </c>
      <c r="Y9" s="669">
        <f>-'Procesy - AS IS'!Y9*'Procesy - ∆'!Y22</f>
        <v>-2.4489795918367352</v>
      </c>
      <c r="Z9" s="669">
        <f>-'Procesy - AS IS'!Z9*'Procesy - ∆'!Z22</f>
        <v>-8.1632653061224497E-2</v>
      </c>
      <c r="AA9" s="669">
        <f>-'Procesy - AS IS'!AA9*'Procesy - ∆'!AA22</f>
        <v>-5.6122448979591844E-2</v>
      </c>
      <c r="AB9" s="669">
        <f>-'Procesy - AS IS'!AB9*'Procesy - ∆'!AB22</f>
        <v>-0.30612244897959184</v>
      </c>
      <c r="AC9" s="669">
        <f>-'Procesy - AS IS'!AC9*'Procesy - ∆'!AC22</f>
        <v>-0.8571428571428571</v>
      </c>
      <c r="AD9" s="750"/>
      <c r="AE9" s="750">
        <f>SUM(D9:AC9)</f>
        <v>-32.325510204081638</v>
      </c>
      <c r="AF9" s="728">
        <f>AE9/'Procesy - AS IS'!AD9</f>
        <v>-0.39294219796576541</v>
      </c>
      <c r="AG9" s="797">
        <f>'Procesy - AS IS'!AG9/(1+$AF9)-'Procesy - AS IS'!AG9</f>
        <v>126.86876034408783</v>
      </c>
      <c r="AH9" s="949">
        <f>'Procesy - AS IS'!AH9/(1+$AF9)-'Procesy - AS IS'!AH9</f>
        <v>46.604850738644515</v>
      </c>
      <c r="AI9" s="730">
        <f>'Procesy - AS IS'!AI9/(1+$AF9)-'Procesy - AS IS'!AI9</f>
        <v>32.364479679614249</v>
      </c>
      <c r="AJ9" s="731">
        <f>'Procesy - AS IS'!AJ9/(1+$AF9)-'Procesy - AS IS'!AJ9</f>
        <v>6.4728959359228497</v>
      </c>
      <c r="AL9" s="232"/>
      <c r="AZ9" s="227"/>
    </row>
    <row r="10" spans="1:52" hidden="1" outlineLevel="1" x14ac:dyDescent="0.25">
      <c r="A10" s="159"/>
      <c r="B10" s="1358" t="s">
        <v>528</v>
      </c>
      <c r="C10" s="667" t="str">
        <f>'Optimalizačné opatrenia'!$B$2</f>
        <v>Modernizácia</v>
      </c>
      <c r="D10" s="673" t="s">
        <v>530</v>
      </c>
      <c r="E10" s="674" t="s">
        <v>530</v>
      </c>
      <c r="F10" s="674" t="s">
        <v>530</v>
      </c>
      <c r="G10" s="674" t="s">
        <v>529</v>
      </c>
      <c r="H10" s="674"/>
      <c r="I10" s="674"/>
      <c r="J10" s="674"/>
      <c r="K10" s="674"/>
      <c r="L10" s="674"/>
      <c r="M10" s="674"/>
      <c r="N10" s="674" t="s">
        <v>530</v>
      </c>
      <c r="O10" s="674"/>
      <c r="P10" s="674" t="s">
        <v>529</v>
      </c>
      <c r="Q10" s="674" t="str">
        <f t="shared" ref="Q10:Q22" si="3">G10</f>
        <v>A</v>
      </c>
      <c r="R10" s="674" t="s">
        <v>529</v>
      </c>
      <c r="S10" s="674" t="str">
        <f t="shared" ref="S10:S22" si="4">R10</f>
        <v>A</v>
      </c>
      <c r="T10" s="674" t="str">
        <f t="shared" ref="T10:T22" si="5">R10</f>
        <v>A</v>
      </c>
      <c r="U10" s="674" t="str">
        <f t="shared" ref="U10:U22" si="6">G10</f>
        <v>A</v>
      </c>
      <c r="V10" s="674" t="s">
        <v>529</v>
      </c>
      <c r="W10" s="674" t="str">
        <f t="shared" ref="W10:W22" si="7">G10</f>
        <v>A</v>
      </c>
      <c r="X10" s="674" t="str">
        <f t="shared" ref="X10:X22" si="8">G10</f>
        <v>A</v>
      </c>
      <c r="Y10" s="674" t="str">
        <f t="shared" ref="Y10:Y22" si="9">R10</f>
        <v>A</v>
      </c>
      <c r="Z10" s="674" t="str">
        <f t="shared" ref="Z10:Z22" si="10">R10</f>
        <v>A</v>
      </c>
      <c r="AA10" s="674" t="str">
        <f t="shared" ref="AA10:AA21" si="11">$V10</f>
        <v>A</v>
      </c>
      <c r="AB10" s="674" t="str">
        <f t="shared" ref="AB10:AB22" si="12">G10</f>
        <v>A</v>
      </c>
      <c r="AC10" s="674" t="str">
        <f t="shared" ref="AC10:AC22" si="13">U10</f>
        <v>A</v>
      </c>
      <c r="AD10" s="804"/>
      <c r="AE10" s="753"/>
      <c r="AF10" s="791"/>
      <c r="AG10" s="798"/>
      <c r="AH10" s="950"/>
      <c r="AI10" s="732"/>
      <c r="AJ10" s="733"/>
    </row>
    <row r="11" spans="1:52" hidden="1" outlineLevel="1" x14ac:dyDescent="0.25">
      <c r="A11" s="159"/>
      <c r="B11" s="1359"/>
      <c r="C11" s="667" t="str">
        <f>'Optimalizačné opatrenia'!$B$3</f>
        <v>Sfunkčnenie</v>
      </c>
      <c r="D11" s="718" t="s">
        <v>530</v>
      </c>
      <c r="E11" s="703" t="s">
        <v>530</v>
      </c>
      <c r="F11" s="703" t="s">
        <v>530</v>
      </c>
      <c r="G11" s="703" t="s">
        <v>530</v>
      </c>
      <c r="H11" s="703"/>
      <c r="I11" s="703"/>
      <c r="J11" s="703"/>
      <c r="K11" s="703"/>
      <c r="L11" s="703"/>
      <c r="M11" s="703"/>
      <c r="N11" s="703" t="s">
        <v>530</v>
      </c>
      <c r="O11" s="703"/>
      <c r="P11" s="703" t="s">
        <v>530</v>
      </c>
      <c r="Q11" s="703" t="str">
        <f t="shared" si="3"/>
        <v>N</v>
      </c>
      <c r="R11" s="703" t="s">
        <v>530</v>
      </c>
      <c r="S11" s="703" t="str">
        <f t="shared" si="4"/>
        <v>N</v>
      </c>
      <c r="T11" s="703" t="str">
        <f t="shared" si="5"/>
        <v>N</v>
      </c>
      <c r="U11" s="703" t="str">
        <f t="shared" si="6"/>
        <v>N</v>
      </c>
      <c r="V11" s="703" t="s">
        <v>530</v>
      </c>
      <c r="W11" s="703" t="str">
        <f t="shared" si="7"/>
        <v>N</v>
      </c>
      <c r="X11" s="703" t="str">
        <f t="shared" si="8"/>
        <v>N</v>
      </c>
      <c r="Y11" s="703" t="str">
        <f t="shared" si="9"/>
        <v>N</v>
      </c>
      <c r="Z11" s="703" t="str">
        <f t="shared" si="10"/>
        <v>N</v>
      </c>
      <c r="AA11" s="703" t="str">
        <f t="shared" si="11"/>
        <v>N</v>
      </c>
      <c r="AB11" s="703" t="str">
        <f t="shared" si="12"/>
        <v>N</v>
      </c>
      <c r="AC11" s="703" t="str">
        <f t="shared" si="13"/>
        <v>N</v>
      </c>
      <c r="AD11" s="804"/>
      <c r="AE11" s="804"/>
      <c r="AF11" s="791"/>
      <c r="AG11" s="798"/>
      <c r="AH11" s="950"/>
      <c r="AI11" s="732"/>
      <c r="AJ11" s="733"/>
    </row>
    <row r="12" spans="1:52" hidden="1" outlineLevel="1" x14ac:dyDescent="0.25">
      <c r="A12" s="159"/>
      <c r="B12" s="1359"/>
      <c r="C12" s="667" t="str">
        <f>'Optimalizačné opatrenia'!$B$4</f>
        <v>Zjednotenie</v>
      </c>
      <c r="D12" s="718" t="s">
        <v>530</v>
      </c>
      <c r="E12" s="703" t="s">
        <v>530</v>
      </c>
      <c r="F12" s="703" t="s">
        <v>530</v>
      </c>
      <c r="G12" s="703" t="s">
        <v>529</v>
      </c>
      <c r="H12" s="703"/>
      <c r="I12" s="703"/>
      <c r="J12" s="703"/>
      <c r="K12" s="703"/>
      <c r="L12" s="703"/>
      <c r="M12" s="703"/>
      <c r="N12" s="703" t="s">
        <v>530</v>
      </c>
      <c r="O12" s="703"/>
      <c r="P12" s="703" t="s">
        <v>529</v>
      </c>
      <c r="Q12" s="703" t="str">
        <f t="shared" si="3"/>
        <v>A</v>
      </c>
      <c r="R12" s="703" t="s">
        <v>529</v>
      </c>
      <c r="S12" s="703" t="str">
        <f t="shared" si="4"/>
        <v>A</v>
      </c>
      <c r="T12" s="703" t="str">
        <f t="shared" si="5"/>
        <v>A</v>
      </c>
      <c r="U12" s="703" t="str">
        <f t="shared" si="6"/>
        <v>A</v>
      </c>
      <c r="V12" s="703" t="s">
        <v>529</v>
      </c>
      <c r="W12" s="703" t="str">
        <f t="shared" si="7"/>
        <v>A</v>
      </c>
      <c r="X12" s="703" t="str">
        <f t="shared" si="8"/>
        <v>A</v>
      </c>
      <c r="Y12" s="703" t="str">
        <f t="shared" si="9"/>
        <v>A</v>
      </c>
      <c r="Z12" s="703" t="str">
        <f t="shared" si="10"/>
        <v>A</v>
      </c>
      <c r="AA12" s="703" t="str">
        <f t="shared" si="11"/>
        <v>A</v>
      </c>
      <c r="AB12" s="703" t="str">
        <f t="shared" si="12"/>
        <v>A</v>
      </c>
      <c r="AC12" s="703" t="str">
        <f t="shared" si="13"/>
        <v>A</v>
      </c>
      <c r="AD12" s="804"/>
      <c r="AE12" s="804"/>
      <c r="AF12" s="791"/>
      <c r="AG12" s="798"/>
      <c r="AH12" s="950"/>
      <c r="AI12" s="732"/>
      <c r="AJ12" s="733"/>
    </row>
    <row r="13" spans="1:52" hidden="1" outlineLevel="1" x14ac:dyDescent="0.25">
      <c r="A13" s="159"/>
      <c r="B13" s="1359"/>
      <c r="C13" s="667" t="str">
        <f>'Optimalizačné opatrenia'!$B$5</f>
        <v>Centralizácia</v>
      </c>
      <c r="D13" s="718" t="s">
        <v>530</v>
      </c>
      <c r="E13" s="703" t="s">
        <v>530</v>
      </c>
      <c r="F13" s="703" t="s">
        <v>530</v>
      </c>
      <c r="G13" s="703" t="s">
        <v>529</v>
      </c>
      <c r="H13" s="703"/>
      <c r="I13" s="703"/>
      <c r="J13" s="703"/>
      <c r="K13" s="703"/>
      <c r="L13" s="703"/>
      <c r="M13" s="703"/>
      <c r="N13" s="703" t="s">
        <v>530</v>
      </c>
      <c r="O13" s="703"/>
      <c r="P13" s="703" t="s">
        <v>529</v>
      </c>
      <c r="Q13" s="703" t="str">
        <f t="shared" si="3"/>
        <v>A</v>
      </c>
      <c r="R13" s="703" t="s">
        <v>529</v>
      </c>
      <c r="S13" s="703" t="str">
        <f t="shared" si="4"/>
        <v>A</v>
      </c>
      <c r="T13" s="703" t="str">
        <f t="shared" si="5"/>
        <v>A</v>
      </c>
      <c r="U13" s="703" t="str">
        <f t="shared" si="6"/>
        <v>A</v>
      </c>
      <c r="V13" s="703" t="s">
        <v>529</v>
      </c>
      <c r="W13" s="703" t="str">
        <f t="shared" si="7"/>
        <v>A</v>
      </c>
      <c r="X13" s="703" t="str">
        <f t="shared" si="8"/>
        <v>A</v>
      </c>
      <c r="Y13" s="703" t="str">
        <f t="shared" si="9"/>
        <v>A</v>
      </c>
      <c r="Z13" s="703" t="str">
        <f t="shared" si="10"/>
        <v>A</v>
      </c>
      <c r="AA13" s="703" t="str">
        <f t="shared" si="11"/>
        <v>A</v>
      </c>
      <c r="AB13" s="703" t="str">
        <f t="shared" si="12"/>
        <v>A</v>
      </c>
      <c r="AC13" s="703" t="str">
        <f t="shared" si="13"/>
        <v>A</v>
      </c>
      <c r="AD13" s="804"/>
      <c r="AE13" s="804"/>
      <c r="AF13" s="791"/>
      <c r="AG13" s="798"/>
      <c r="AH13" s="950"/>
      <c r="AI13" s="732"/>
      <c r="AJ13" s="733"/>
    </row>
    <row r="14" spans="1:52" hidden="1" outlineLevel="1" x14ac:dyDescent="0.25">
      <c r="A14" s="159"/>
      <c r="B14" s="1359"/>
      <c r="C14" s="667" t="str">
        <f>'Optimalizačné opatrenia'!$B$6</f>
        <v>Elektronizácia</v>
      </c>
      <c r="D14" s="718" t="s">
        <v>530</v>
      </c>
      <c r="E14" s="703" t="s">
        <v>530</v>
      </c>
      <c r="F14" s="703" t="s">
        <v>530</v>
      </c>
      <c r="G14" s="703" t="s">
        <v>529</v>
      </c>
      <c r="H14" s="703"/>
      <c r="I14" s="703"/>
      <c r="J14" s="703"/>
      <c r="K14" s="703"/>
      <c r="L14" s="703"/>
      <c r="M14" s="703"/>
      <c r="N14" s="703" t="s">
        <v>530</v>
      </c>
      <c r="O14" s="703"/>
      <c r="P14" s="703" t="s">
        <v>529</v>
      </c>
      <c r="Q14" s="703" t="str">
        <f t="shared" si="3"/>
        <v>A</v>
      </c>
      <c r="R14" s="703" t="s">
        <v>529</v>
      </c>
      <c r="S14" s="703" t="str">
        <f t="shared" si="4"/>
        <v>A</v>
      </c>
      <c r="T14" s="703" t="str">
        <f t="shared" si="5"/>
        <v>A</v>
      </c>
      <c r="U14" s="703" t="str">
        <f t="shared" si="6"/>
        <v>A</v>
      </c>
      <c r="V14" s="703" t="s">
        <v>529</v>
      </c>
      <c r="W14" s="703" t="str">
        <f t="shared" si="7"/>
        <v>A</v>
      </c>
      <c r="X14" s="703" t="str">
        <f t="shared" si="8"/>
        <v>A</v>
      </c>
      <c r="Y14" s="703" t="str">
        <f t="shared" si="9"/>
        <v>A</v>
      </c>
      <c r="Z14" s="703" t="str">
        <f t="shared" si="10"/>
        <v>A</v>
      </c>
      <c r="AA14" s="703" t="str">
        <f t="shared" si="11"/>
        <v>A</v>
      </c>
      <c r="AB14" s="703" t="str">
        <f t="shared" si="12"/>
        <v>A</v>
      </c>
      <c r="AC14" s="703" t="str">
        <f t="shared" si="13"/>
        <v>A</v>
      </c>
      <c r="AD14" s="804"/>
      <c r="AE14" s="804"/>
      <c r="AF14" s="791"/>
      <c r="AG14" s="798"/>
      <c r="AH14" s="950"/>
      <c r="AI14" s="732"/>
      <c r="AJ14" s="733"/>
    </row>
    <row r="15" spans="1:52" hidden="1" outlineLevel="1" x14ac:dyDescent="0.25">
      <c r="A15" s="159"/>
      <c r="B15" s="1359"/>
      <c r="C15" s="667" t="str">
        <f>'Optimalizačné opatrenia'!$B$7</f>
        <v>Automatizácia</v>
      </c>
      <c r="D15" s="718" t="s">
        <v>530</v>
      </c>
      <c r="E15" s="703" t="s">
        <v>530</v>
      </c>
      <c r="F15" s="703" t="s">
        <v>530</v>
      </c>
      <c r="G15" s="703" t="s">
        <v>529</v>
      </c>
      <c r="H15" s="703"/>
      <c r="I15" s="703"/>
      <c r="J15" s="703"/>
      <c r="K15" s="703"/>
      <c r="L15" s="703"/>
      <c r="M15" s="703"/>
      <c r="N15" s="703" t="s">
        <v>530</v>
      </c>
      <c r="O15" s="703"/>
      <c r="P15" s="703" t="s">
        <v>529</v>
      </c>
      <c r="Q15" s="703" t="str">
        <f t="shared" si="3"/>
        <v>A</v>
      </c>
      <c r="R15" s="703" t="s">
        <v>529</v>
      </c>
      <c r="S15" s="703" t="str">
        <f t="shared" si="4"/>
        <v>A</v>
      </c>
      <c r="T15" s="703" t="str">
        <f t="shared" si="5"/>
        <v>A</v>
      </c>
      <c r="U15" s="703" t="str">
        <f t="shared" si="6"/>
        <v>A</v>
      </c>
      <c r="V15" s="703" t="s">
        <v>529</v>
      </c>
      <c r="W15" s="703" t="str">
        <f t="shared" si="7"/>
        <v>A</v>
      </c>
      <c r="X15" s="703" t="str">
        <f t="shared" si="8"/>
        <v>A</v>
      </c>
      <c r="Y15" s="703" t="str">
        <f t="shared" si="9"/>
        <v>A</v>
      </c>
      <c r="Z15" s="703" t="str">
        <f t="shared" si="10"/>
        <v>A</v>
      </c>
      <c r="AA15" s="703" t="str">
        <f t="shared" si="11"/>
        <v>A</v>
      </c>
      <c r="AB15" s="703" t="str">
        <f t="shared" si="12"/>
        <v>A</v>
      </c>
      <c r="AC15" s="703" t="str">
        <f t="shared" si="13"/>
        <v>A</v>
      </c>
      <c r="AD15" s="804"/>
      <c r="AE15" s="804"/>
      <c r="AF15" s="791"/>
      <c r="AG15" s="798"/>
      <c r="AH15" s="950"/>
      <c r="AI15" s="732"/>
      <c r="AJ15" s="733"/>
    </row>
    <row r="16" spans="1:52" hidden="1" outlineLevel="1" x14ac:dyDescent="0.25">
      <c r="A16" s="159"/>
      <c r="B16" s="1359"/>
      <c r="C16" s="667" t="str">
        <f>'Optimalizačné opatrenia'!$B$8</f>
        <v>Bezpečnosť</v>
      </c>
      <c r="D16" s="718" t="s">
        <v>530</v>
      </c>
      <c r="E16" s="703" t="s">
        <v>530</v>
      </c>
      <c r="F16" s="703" t="s">
        <v>530</v>
      </c>
      <c r="G16" s="703" t="s">
        <v>529</v>
      </c>
      <c r="H16" s="703"/>
      <c r="I16" s="703"/>
      <c r="J16" s="703"/>
      <c r="K16" s="703"/>
      <c r="L16" s="703"/>
      <c r="M16" s="703"/>
      <c r="N16" s="703" t="s">
        <v>530</v>
      </c>
      <c r="O16" s="703"/>
      <c r="P16" s="703" t="s">
        <v>529</v>
      </c>
      <c r="Q16" s="703" t="str">
        <f t="shared" si="3"/>
        <v>A</v>
      </c>
      <c r="R16" s="703" t="s">
        <v>529</v>
      </c>
      <c r="S16" s="703" t="str">
        <f t="shared" si="4"/>
        <v>A</v>
      </c>
      <c r="T16" s="703" t="str">
        <f t="shared" si="5"/>
        <v>A</v>
      </c>
      <c r="U16" s="703" t="str">
        <f t="shared" si="6"/>
        <v>A</v>
      </c>
      <c r="V16" s="703" t="s">
        <v>529</v>
      </c>
      <c r="W16" s="703" t="str">
        <f t="shared" si="7"/>
        <v>A</v>
      </c>
      <c r="X16" s="703" t="str">
        <f t="shared" si="8"/>
        <v>A</v>
      </c>
      <c r="Y16" s="703" t="str">
        <f t="shared" si="9"/>
        <v>A</v>
      </c>
      <c r="Z16" s="703" t="str">
        <f t="shared" si="10"/>
        <v>A</v>
      </c>
      <c r="AA16" s="703" t="str">
        <f t="shared" si="11"/>
        <v>A</v>
      </c>
      <c r="AB16" s="703" t="str">
        <f t="shared" si="12"/>
        <v>A</v>
      </c>
      <c r="AC16" s="703" t="str">
        <f t="shared" si="13"/>
        <v>A</v>
      </c>
      <c r="AD16" s="804"/>
      <c r="AE16" s="804"/>
      <c r="AF16" s="791"/>
      <c r="AG16" s="798"/>
      <c r="AH16" s="950"/>
      <c r="AI16" s="732"/>
      <c r="AJ16" s="733"/>
    </row>
    <row r="17" spans="1:52" hidden="1" outlineLevel="1" x14ac:dyDescent="0.25">
      <c r="A17" s="159"/>
      <c r="B17" s="1359"/>
      <c r="C17" s="667" t="str">
        <f>'Optimalizačné opatrenia'!$B$9</f>
        <v>Auditovateľnosť</v>
      </c>
      <c r="D17" s="718" t="s">
        <v>530</v>
      </c>
      <c r="E17" s="703" t="s">
        <v>530</v>
      </c>
      <c r="F17" s="703" t="s">
        <v>530</v>
      </c>
      <c r="G17" s="703" t="s">
        <v>529</v>
      </c>
      <c r="H17" s="703"/>
      <c r="I17" s="703"/>
      <c r="J17" s="703"/>
      <c r="K17" s="703"/>
      <c r="L17" s="703"/>
      <c r="M17" s="703"/>
      <c r="N17" s="703" t="s">
        <v>530</v>
      </c>
      <c r="O17" s="703"/>
      <c r="P17" s="703" t="s">
        <v>529</v>
      </c>
      <c r="Q17" s="703" t="str">
        <f t="shared" si="3"/>
        <v>A</v>
      </c>
      <c r="R17" s="703" t="s">
        <v>529</v>
      </c>
      <c r="S17" s="703" t="str">
        <f t="shared" si="4"/>
        <v>A</v>
      </c>
      <c r="T17" s="703" t="str">
        <f t="shared" si="5"/>
        <v>A</v>
      </c>
      <c r="U17" s="703" t="str">
        <f t="shared" si="6"/>
        <v>A</v>
      </c>
      <c r="V17" s="703" t="s">
        <v>529</v>
      </c>
      <c r="W17" s="703" t="str">
        <f t="shared" si="7"/>
        <v>A</v>
      </c>
      <c r="X17" s="703" t="str">
        <f t="shared" si="8"/>
        <v>A</v>
      </c>
      <c r="Y17" s="703" t="str">
        <f t="shared" si="9"/>
        <v>A</v>
      </c>
      <c r="Z17" s="703" t="str">
        <f t="shared" si="10"/>
        <v>A</v>
      </c>
      <c r="AA17" s="703" t="str">
        <f t="shared" si="11"/>
        <v>A</v>
      </c>
      <c r="AB17" s="703" t="str">
        <f t="shared" si="12"/>
        <v>A</v>
      </c>
      <c r="AC17" s="703" t="str">
        <f t="shared" si="13"/>
        <v>A</v>
      </c>
      <c r="AD17" s="804"/>
      <c r="AE17" s="804"/>
      <c r="AF17" s="791"/>
      <c r="AG17" s="798"/>
      <c r="AH17" s="950"/>
      <c r="AI17" s="732"/>
      <c r="AJ17" s="733"/>
    </row>
    <row r="18" spans="1:52" hidden="1" outlineLevel="1" x14ac:dyDescent="0.25">
      <c r="A18" s="159"/>
      <c r="B18" s="1359"/>
      <c r="C18" s="667" t="str">
        <f>'Optimalizačné opatrenia'!$B$10</f>
        <v>Transparentnosť</v>
      </c>
      <c r="D18" s="718" t="s">
        <v>530</v>
      </c>
      <c r="E18" s="703" t="s">
        <v>530</v>
      </c>
      <c r="F18" s="703" t="s">
        <v>530</v>
      </c>
      <c r="G18" s="703" t="s">
        <v>530</v>
      </c>
      <c r="H18" s="703"/>
      <c r="I18" s="703"/>
      <c r="J18" s="703"/>
      <c r="K18" s="703"/>
      <c r="L18" s="703"/>
      <c r="M18" s="703"/>
      <c r="N18" s="703" t="s">
        <v>530</v>
      </c>
      <c r="O18" s="703"/>
      <c r="P18" s="703" t="s">
        <v>529</v>
      </c>
      <c r="Q18" s="703" t="str">
        <f t="shared" si="3"/>
        <v>N</v>
      </c>
      <c r="R18" s="703" t="s">
        <v>530</v>
      </c>
      <c r="S18" s="703" t="str">
        <f t="shared" si="4"/>
        <v>N</v>
      </c>
      <c r="T18" s="703" t="str">
        <f t="shared" si="5"/>
        <v>N</v>
      </c>
      <c r="U18" s="703" t="str">
        <f t="shared" si="6"/>
        <v>N</v>
      </c>
      <c r="V18" s="703" t="s">
        <v>529</v>
      </c>
      <c r="W18" s="703" t="str">
        <f t="shared" si="7"/>
        <v>N</v>
      </c>
      <c r="X18" s="703" t="str">
        <f t="shared" si="8"/>
        <v>N</v>
      </c>
      <c r="Y18" s="703" t="str">
        <f t="shared" si="9"/>
        <v>N</v>
      </c>
      <c r="Z18" s="703" t="str">
        <f t="shared" si="10"/>
        <v>N</v>
      </c>
      <c r="AA18" s="703" t="str">
        <f t="shared" si="11"/>
        <v>A</v>
      </c>
      <c r="AB18" s="703" t="str">
        <f t="shared" si="12"/>
        <v>N</v>
      </c>
      <c r="AC18" s="703" t="str">
        <f t="shared" si="13"/>
        <v>N</v>
      </c>
      <c r="AD18" s="804"/>
      <c r="AE18" s="804"/>
      <c r="AF18" s="791"/>
      <c r="AG18" s="798"/>
      <c r="AH18" s="950"/>
      <c r="AI18" s="732"/>
      <c r="AJ18" s="733"/>
    </row>
    <row r="19" spans="1:52" hidden="1" outlineLevel="1" x14ac:dyDescent="0.25">
      <c r="A19" s="159"/>
      <c r="B19" s="1359"/>
      <c r="C19" s="667" t="str">
        <f>'Optimalizačné opatrenia'!$B$11</f>
        <v>Analyzovatelnosť</v>
      </c>
      <c r="D19" s="718" t="s">
        <v>530</v>
      </c>
      <c r="E19" s="703" t="s">
        <v>530</v>
      </c>
      <c r="F19" s="703" t="s">
        <v>530</v>
      </c>
      <c r="G19" s="703" t="s">
        <v>529</v>
      </c>
      <c r="H19" s="703"/>
      <c r="I19" s="703"/>
      <c r="J19" s="703"/>
      <c r="K19" s="703"/>
      <c r="L19" s="703"/>
      <c r="M19" s="703"/>
      <c r="N19" s="703" t="s">
        <v>530</v>
      </c>
      <c r="O19" s="703"/>
      <c r="P19" s="703" t="s">
        <v>529</v>
      </c>
      <c r="Q19" s="703" t="str">
        <f t="shared" si="3"/>
        <v>A</v>
      </c>
      <c r="R19" s="703" t="s">
        <v>529</v>
      </c>
      <c r="S19" s="703" t="str">
        <f t="shared" si="4"/>
        <v>A</v>
      </c>
      <c r="T19" s="703" t="str">
        <f t="shared" si="5"/>
        <v>A</v>
      </c>
      <c r="U19" s="703" t="str">
        <f t="shared" si="6"/>
        <v>A</v>
      </c>
      <c r="V19" s="703" t="s">
        <v>529</v>
      </c>
      <c r="W19" s="703" t="str">
        <f t="shared" si="7"/>
        <v>A</v>
      </c>
      <c r="X19" s="703" t="str">
        <f t="shared" si="8"/>
        <v>A</v>
      </c>
      <c r="Y19" s="703" t="str">
        <f t="shared" si="9"/>
        <v>A</v>
      </c>
      <c r="Z19" s="703" t="str">
        <f t="shared" si="10"/>
        <v>A</v>
      </c>
      <c r="AA19" s="703" t="str">
        <f t="shared" si="11"/>
        <v>A</v>
      </c>
      <c r="AB19" s="703" t="str">
        <f t="shared" si="12"/>
        <v>A</v>
      </c>
      <c r="AC19" s="703" t="str">
        <f t="shared" si="13"/>
        <v>A</v>
      </c>
      <c r="AD19" s="804"/>
      <c r="AE19" s="804"/>
      <c r="AF19" s="791"/>
      <c r="AG19" s="798"/>
      <c r="AH19" s="950"/>
      <c r="AI19" s="732"/>
      <c r="AJ19" s="733"/>
    </row>
    <row r="20" spans="1:52" hidden="1" outlineLevel="1" x14ac:dyDescent="0.25">
      <c r="A20" s="159"/>
      <c r="B20" s="1359"/>
      <c r="C20" s="667" t="str">
        <f>'Optimalizačné opatrenia'!$B$12</f>
        <v>Integrácia</v>
      </c>
      <c r="D20" s="718" t="s">
        <v>530</v>
      </c>
      <c r="E20" s="703" t="s">
        <v>530</v>
      </c>
      <c r="F20" s="703" t="s">
        <v>530</v>
      </c>
      <c r="G20" s="703" t="s">
        <v>529</v>
      </c>
      <c r="H20" s="703"/>
      <c r="I20" s="703"/>
      <c r="J20" s="703"/>
      <c r="K20" s="703"/>
      <c r="L20" s="703"/>
      <c r="M20" s="703"/>
      <c r="N20" s="703" t="s">
        <v>530</v>
      </c>
      <c r="O20" s="703"/>
      <c r="P20" s="703" t="s">
        <v>529</v>
      </c>
      <c r="Q20" s="703" t="str">
        <f t="shared" si="3"/>
        <v>A</v>
      </c>
      <c r="R20" s="703" t="s">
        <v>529</v>
      </c>
      <c r="S20" s="703" t="str">
        <f t="shared" si="4"/>
        <v>A</v>
      </c>
      <c r="T20" s="703" t="str">
        <f t="shared" si="5"/>
        <v>A</v>
      </c>
      <c r="U20" s="703" t="str">
        <f t="shared" si="6"/>
        <v>A</v>
      </c>
      <c r="V20" s="703" t="s">
        <v>529</v>
      </c>
      <c r="W20" s="703" t="str">
        <f t="shared" si="7"/>
        <v>A</v>
      </c>
      <c r="X20" s="703" t="str">
        <f t="shared" si="8"/>
        <v>A</v>
      </c>
      <c r="Y20" s="703" t="str">
        <f t="shared" si="9"/>
        <v>A</v>
      </c>
      <c r="Z20" s="703" t="str">
        <f t="shared" si="10"/>
        <v>A</v>
      </c>
      <c r="AA20" s="703" t="str">
        <f t="shared" si="11"/>
        <v>A</v>
      </c>
      <c r="AB20" s="703" t="str">
        <f t="shared" si="12"/>
        <v>A</v>
      </c>
      <c r="AC20" s="703" t="str">
        <f t="shared" si="13"/>
        <v>A</v>
      </c>
      <c r="AD20" s="804"/>
      <c r="AE20" s="804"/>
      <c r="AF20" s="791"/>
      <c r="AG20" s="798"/>
      <c r="AH20" s="950"/>
      <c r="AI20" s="732"/>
      <c r="AJ20" s="733"/>
    </row>
    <row r="21" spans="1:52" hidden="1" outlineLevel="1" x14ac:dyDescent="0.25">
      <c r="A21" s="159"/>
      <c r="B21" s="1359"/>
      <c r="C21" s="672" t="str">
        <f>'Optimalizačné opatrenia'!$B$13</f>
        <v>Proaktivita</v>
      </c>
      <c r="D21" s="718" t="s">
        <v>530</v>
      </c>
      <c r="E21" s="703" t="s">
        <v>530</v>
      </c>
      <c r="F21" s="703" t="s">
        <v>530</v>
      </c>
      <c r="G21" s="703" t="s">
        <v>530</v>
      </c>
      <c r="H21" s="703"/>
      <c r="I21" s="703"/>
      <c r="J21" s="703"/>
      <c r="K21" s="703"/>
      <c r="L21" s="703"/>
      <c r="M21" s="703"/>
      <c r="N21" s="703" t="s">
        <v>530</v>
      </c>
      <c r="O21" s="703"/>
      <c r="P21" s="703" t="s">
        <v>530</v>
      </c>
      <c r="Q21" s="703" t="str">
        <f t="shared" si="3"/>
        <v>N</v>
      </c>
      <c r="R21" s="703" t="s">
        <v>529</v>
      </c>
      <c r="S21" s="703" t="str">
        <f t="shared" si="4"/>
        <v>A</v>
      </c>
      <c r="T21" s="703" t="str">
        <f t="shared" si="5"/>
        <v>A</v>
      </c>
      <c r="U21" s="703" t="str">
        <f t="shared" si="6"/>
        <v>N</v>
      </c>
      <c r="V21" s="703" t="s">
        <v>529</v>
      </c>
      <c r="W21" s="703" t="str">
        <f t="shared" si="7"/>
        <v>N</v>
      </c>
      <c r="X21" s="703" t="str">
        <f t="shared" si="8"/>
        <v>N</v>
      </c>
      <c r="Y21" s="703" t="str">
        <f t="shared" si="9"/>
        <v>A</v>
      </c>
      <c r="Z21" s="703" t="str">
        <f t="shared" si="10"/>
        <v>A</v>
      </c>
      <c r="AA21" s="703" t="str">
        <f t="shared" si="11"/>
        <v>A</v>
      </c>
      <c r="AB21" s="703" t="str">
        <f t="shared" si="12"/>
        <v>N</v>
      </c>
      <c r="AC21" s="703" t="str">
        <f t="shared" si="13"/>
        <v>N</v>
      </c>
      <c r="AD21" s="804"/>
      <c r="AE21" s="804"/>
      <c r="AF21" s="791"/>
      <c r="AG21" s="798"/>
      <c r="AH21" s="950"/>
      <c r="AI21" s="732"/>
      <c r="AJ21" s="733"/>
    </row>
    <row r="22" spans="1:52" hidden="1" outlineLevel="1" x14ac:dyDescent="0.25">
      <c r="A22" s="159"/>
      <c r="B22" s="720"/>
      <c r="C22" s="722" t="s">
        <v>538</v>
      </c>
      <c r="D22" s="723">
        <v>0</v>
      </c>
      <c r="E22" s="721">
        <v>0</v>
      </c>
      <c r="F22" s="724">
        <v>0</v>
      </c>
      <c r="G22" s="724">
        <v>0.3</v>
      </c>
      <c r="H22" s="724"/>
      <c r="I22" s="724"/>
      <c r="J22" s="724"/>
      <c r="K22" s="724"/>
      <c r="L22" s="724"/>
      <c r="M22" s="724"/>
      <c r="N22" s="724">
        <v>0</v>
      </c>
      <c r="O22" s="724"/>
      <c r="P22" s="724">
        <v>0.45</v>
      </c>
      <c r="Q22" s="724">
        <f t="shared" si="3"/>
        <v>0.3</v>
      </c>
      <c r="R22" s="724">
        <v>0.4</v>
      </c>
      <c r="S22" s="724">
        <f t="shared" si="4"/>
        <v>0.4</v>
      </c>
      <c r="T22" s="724">
        <f t="shared" si="5"/>
        <v>0.4</v>
      </c>
      <c r="U22" s="724">
        <f t="shared" si="6"/>
        <v>0.3</v>
      </c>
      <c r="V22" s="724">
        <v>0.5</v>
      </c>
      <c r="W22" s="724">
        <f t="shared" si="7"/>
        <v>0.3</v>
      </c>
      <c r="X22" s="724">
        <f t="shared" si="8"/>
        <v>0.3</v>
      </c>
      <c r="Y22" s="724">
        <f t="shared" si="9"/>
        <v>0.4</v>
      </c>
      <c r="Z22" s="724">
        <f t="shared" si="10"/>
        <v>0.4</v>
      </c>
      <c r="AA22" s="724">
        <v>0.55000000000000004</v>
      </c>
      <c r="AB22" s="724">
        <f t="shared" si="12"/>
        <v>0.3</v>
      </c>
      <c r="AC22" s="724">
        <f t="shared" si="13"/>
        <v>0.3</v>
      </c>
      <c r="AD22" s="805"/>
      <c r="AE22" s="805"/>
      <c r="AF22" s="792"/>
      <c r="AG22" s="799"/>
      <c r="AH22" s="951"/>
      <c r="AI22" s="735"/>
      <c r="AJ22" s="736"/>
    </row>
    <row r="23" spans="1:52" ht="42.6" customHeight="1" collapsed="1" x14ac:dyDescent="0.25">
      <c r="A23" s="159">
        <f ca="1">OFFSET(A23,-14,0)+1</f>
        <v>2</v>
      </c>
      <c r="B23" s="234" t="str">
        <f ca="1">'Procesy - AS IS'!B10</f>
        <v>Meranie č. 2</v>
      </c>
      <c r="C23" s="650" t="str">
        <f>'Procesy - AS IS'!C10</f>
        <v>ETI ELB, s.r.o. Báhoň, Nakladanie s vodami a prevádzku a účinnosť ČOV, 6419/2017</v>
      </c>
      <c r="D23" s="726">
        <f>-'Procesy - AS IS'!D12*D36</f>
        <v>0</v>
      </c>
      <c r="E23" s="653">
        <f>-'Procesy - AS IS'!E12*E36</f>
        <v>0</v>
      </c>
      <c r="F23" s="653">
        <f>-'Procesy - AS IS'!F12*F36</f>
        <v>0</v>
      </c>
      <c r="G23" s="653">
        <f>-'Procesy - AS IS'!G12*G36</f>
        <v>-3.5999999999999996</v>
      </c>
      <c r="H23" s="653" t="s">
        <v>555</v>
      </c>
      <c r="I23" s="653" t="s">
        <v>555</v>
      </c>
      <c r="J23" s="653" t="s">
        <v>555</v>
      </c>
      <c r="K23" s="653" t="s">
        <v>555</v>
      </c>
      <c r="L23" s="653" t="s">
        <v>555</v>
      </c>
      <c r="M23" s="653" t="s">
        <v>555</v>
      </c>
      <c r="N23" s="653">
        <f>-'Procesy - AS IS'!N12*N36</f>
        <v>0</v>
      </c>
      <c r="O23" s="653" t="s">
        <v>559</v>
      </c>
      <c r="P23" s="653">
        <f>-'Procesy - AS IS'!P12*P36</f>
        <v>-7.2</v>
      </c>
      <c r="Q23" s="653">
        <f>-'Procesy - AS IS'!Q12*Q36</f>
        <v>0</v>
      </c>
      <c r="R23" s="653">
        <f>-'Procesy - AS IS'!R12*R36</f>
        <v>-3.5027027027027025</v>
      </c>
      <c r="S23" s="653">
        <f>-'Procesy - AS IS'!S12*S36</f>
        <v>-6.0972972972972972</v>
      </c>
      <c r="T23" s="653">
        <f>-'Procesy - AS IS'!T12*T36</f>
        <v>-2.3351351351351353</v>
      </c>
      <c r="U23" s="653">
        <f>-'Procesy - AS IS'!U12*U36</f>
        <v>-1.5243243243243241</v>
      </c>
      <c r="V23" s="653">
        <f>-'Procesy - AS IS'!V12*V36</f>
        <v>-4</v>
      </c>
      <c r="W23" s="653">
        <f>-'Procesy - AS IS'!W12*W36</f>
        <v>-0.30810810810810807</v>
      </c>
      <c r="X23" s="653">
        <f>-'Procesy - AS IS'!X12*X36</f>
        <v>0</v>
      </c>
      <c r="Y23" s="653">
        <f>-'Procesy - AS IS'!Y12*Y36</f>
        <v>-2.4648648648648646</v>
      </c>
      <c r="Z23" s="653">
        <f>-'Procesy - AS IS'!Z12*Z36</f>
        <v>-7.567567567567568E-2</v>
      </c>
      <c r="AA23" s="653">
        <f>-'Procesy - AS IS'!AA12*AA36</f>
        <v>-4.72972972972973E-2</v>
      </c>
      <c r="AB23" s="653">
        <f>-'Procesy - AS IS'!AB12*AB36</f>
        <v>-0.28378378378378383</v>
      </c>
      <c r="AC23" s="653">
        <f>-'Procesy - AS IS'!AC12*AC36</f>
        <v>-0.79459459459459458</v>
      </c>
      <c r="AD23" s="754"/>
      <c r="AE23" s="754">
        <f>SUM(D23:AC23)</f>
        <v>-32.233783783783785</v>
      </c>
      <c r="AF23" s="728">
        <f>AE23/'Procesy - AS IS'!AD12</f>
        <v>-0.39315971649909343</v>
      </c>
      <c r="AG23" s="797">
        <f>'Procesy - AS IS'!AG12/(1+$AF23)-'Procesy - AS IS'!AG12</f>
        <v>95.886248200559521</v>
      </c>
      <c r="AH23" s="949">
        <f>'Procesy - AS IS'!AH12/(1+$AF23)-'Procesy - AS IS'!AH12</f>
        <v>34.985522992096037</v>
      </c>
      <c r="AI23" s="730">
        <f>'Procesy - AS IS'!AI12/(1+$AF23)-'Procesy - AS IS'!AI12</f>
        <v>24.619442105549062</v>
      </c>
      <c r="AJ23" s="731">
        <f>'Procesy - AS IS'!AJ12/(1+$AF23)-'Procesy - AS IS'!AJ12</f>
        <v>4.5351603878643019</v>
      </c>
      <c r="AL23" s="232"/>
      <c r="AZ23" s="227"/>
    </row>
    <row r="24" spans="1:52" hidden="1" outlineLevel="1" x14ac:dyDescent="0.25">
      <c r="A24" s="159"/>
      <c r="B24" s="1358" t="s">
        <v>528</v>
      </c>
      <c r="C24" s="667" t="str">
        <f>'Optimalizačné opatrenia'!$B$2</f>
        <v>Modernizácia</v>
      </c>
      <c r="D24" s="718" t="s">
        <v>530</v>
      </c>
      <c r="E24" s="703" t="s">
        <v>530</v>
      </c>
      <c r="F24" s="703" t="s">
        <v>530</v>
      </c>
      <c r="G24" s="703" t="str">
        <f t="shared" ref="G24:G36" si="14">G10</f>
        <v>A</v>
      </c>
      <c r="H24" s="703"/>
      <c r="I24" s="703"/>
      <c r="J24" s="703"/>
      <c r="K24" s="703"/>
      <c r="L24" s="703"/>
      <c r="M24" s="703"/>
      <c r="N24" s="703" t="s">
        <v>530</v>
      </c>
      <c r="O24" s="703"/>
      <c r="P24" s="703" t="str">
        <f t="shared" ref="P24:P36" si="15">P10</f>
        <v>A</v>
      </c>
      <c r="Q24" s="703" t="str">
        <f t="shared" ref="Q24:Q36" si="16">G24</f>
        <v>A</v>
      </c>
      <c r="R24" s="703" t="str">
        <f t="shared" ref="R24:R36" si="17">R10</f>
        <v>A</v>
      </c>
      <c r="S24" s="703" t="str">
        <f t="shared" ref="S24:S36" si="18">R24</f>
        <v>A</v>
      </c>
      <c r="T24" s="703" t="str">
        <f t="shared" ref="T24:T36" si="19">R24</f>
        <v>A</v>
      </c>
      <c r="U24" s="703" t="str">
        <f t="shared" ref="U24:U36" si="20">G24</f>
        <v>A</v>
      </c>
      <c r="V24" s="703" t="str">
        <f t="shared" ref="V24:V36" si="21">V10</f>
        <v>A</v>
      </c>
      <c r="W24" s="703" t="str">
        <f t="shared" ref="W24:W36" si="22">G24</f>
        <v>A</v>
      </c>
      <c r="X24" s="703" t="str">
        <f t="shared" ref="X24:X36" si="23">G24</f>
        <v>A</v>
      </c>
      <c r="Y24" s="703" t="str">
        <f t="shared" ref="Y24:Y36" si="24">R24</f>
        <v>A</v>
      </c>
      <c r="Z24" s="703" t="str">
        <f t="shared" ref="Z24:Z36" si="25">R24</f>
        <v>A</v>
      </c>
      <c r="AA24" s="703" t="str">
        <f t="shared" ref="AA24:AA36" si="26">$V24</f>
        <v>A</v>
      </c>
      <c r="AB24" s="703" t="str">
        <f t="shared" ref="AB24:AB36" si="27">G24</f>
        <v>A</v>
      </c>
      <c r="AC24" s="703" t="str">
        <f t="shared" ref="AC24:AC36" si="28">G24</f>
        <v>A</v>
      </c>
      <c r="AD24" s="804"/>
      <c r="AE24" s="804"/>
      <c r="AF24" s="791"/>
      <c r="AG24" s="798"/>
      <c r="AH24" s="950"/>
      <c r="AI24" s="732"/>
      <c r="AJ24" s="733"/>
    </row>
    <row r="25" spans="1:52" hidden="1" outlineLevel="1" x14ac:dyDescent="0.25">
      <c r="A25" s="159"/>
      <c r="B25" s="1359"/>
      <c r="C25" s="667" t="str">
        <f>'Optimalizačné opatrenia'!$B$3</f>
        <v>Sfunkčnenie</v>
      </c>
      <c r="D25" s="718" t="s">
        <v>530</v>
      </c>
      <c r="E25" s="703" t="s">
        <v>530</v>
      </c>
      <c r="F25" s="703" t="s">
        <v>530</v>
      </c>
      <c r="G25" s="703" t="str">
        <f t="shared" si="14"/>
        <v>N</v>
      </c>
      <c r="H25" s="703"/>
      <c r="I25" s="703"/>
      <c r="J25" s="703"/>
      <c r="K25" s="703"/>
      <c r="L25" s="703"/>
      <c r="M25" s="703"/>
      <c r="N25" s="703" t="s">
        <v>530</v>
      </c>
      <c r="O25" s="703"/>
      <c r="P25" s="703" t="str">
        <f t="shared" si="15"/>
        <v>N</v>
      </c>
      <c r="Q25" s="703" t="str">
        <f t="shared" si="16"/>
        <v>N</v>
      </c>
      <c r="R25" s="703" t="str">
        <f t="shared" si="17"/>
        <v>N</v>
      </c>
      <c r="S25" s="703" t="str">
        <f t="shared" si="18"/>
        <v>N</v>
      </c>
      <c r="T25" s="703" t="str">
        <f t="shared" si="19"/>
        <v>N</v>
      </c>
      <c r="U25" s="703" t="str">
        <f t="shared" si="20"/>
        <v>N</v>
      </c>
      <c r="V25" s="703" t="str">
        <f t="shared" si="21"/>
        <v>N</v>
      </c>
      <c r="W25" s="703" t="str">
        <f t="shared" si="22"/>
        <v>N</v>
      </c>
      <c r="X25" s="703" t="str">
        <f t="shared" si="23"/>
        <v>N</v>
      </c>
      <c r="Y25" s="703" t="str">
        <f t="shared" si="24"/>
        <v>N</v>
      </c>
      <c r="Z25" s="703" t="str">
        <f t="shared" si="25"/>
        <v>N</v>
      </c>
      <c r="AA25" s="703" t="str">
        <f t="shared" si="26"/>
        <v>N</v>
      </c>
      <c r="AB25" s="703" t="str">
        <f t="shared" si="27"/>
        <v>N</v>
      </c>
      <c r="AC25" s="703" t="str">
        <f t="shared" si="28"/>
        <v>N</v>
      </c>
      <c r="AD25" s="804"/>
      <c r="AE25" s="804"/>
      <c r="AF25" s="791"/>
      <c r="AG25" s="798"/>
      <c r="AH25" s="950"/>
      <c r="AI25" s="732"/>
      <c r="AJ25" s="733"/>
    </row>
    <row r="26" spans="1:52" hidden="1" outlineLevel="1" x14ac:dyDescent="0.25">
      <c r="A26" s="159"/>
      <c r="B26" s="1359"/>
      <c r="C26" s="667" t="str">
        <f>'Optimalizačné opatrenia'!$B$4</f>
        <v>Zjednotenie</v>
      </c>
      <c r="D26" s="718" t="s">
        <v>530</v>
      </c>
      <c r="E26" s="703" t="s">
        <v>530</v>
      </c>
      <c r="F26" s="703" t="s">
        <v>530</v>
      </c>
      <c r="G26" s="703" t="str">
        <f t="shared" si="14"/>
        <v>A</v>
      </c>
      <c r="H26" s="703"/>
      <c r="I26" s="703"/>
      <c r="J26" s="703"/>
      <c r="K26" s="703"/>
      <c r="L26" s="703"/>
      <c r="M26" s="703"/>
      <c r="N26" s="703" t="s">
        <v>530</v>
      </c>
      <c r="O26" s="703"/>
      <c r="P26" s="703" t="str">
        <f t="shared" si="15"/>
        <v>A</v>
      </c>
      <c r="Q26" s="703" t="str">
        <f t="shared" si="16"/>
        <v>A</v>
      </c>
      <c r="R26" s="703" t="str">
        <f t="shared" si="17"/>
        <v>A</v>
      </c>
      <c r="S26" s="703" t="str">
        <f t="shared" si="18"/>
        <v>A</v>
      </c>
      <c r="T26" s="703" t="str">
        <f t="shared" si="19"/>
        <v>A</v>
      </c>
      <c r="U26" s="703" t="str">
        <f t="shared" si="20"/>
        <v>A</v>
      </c>
      <c r="V26" s="703" t="str">
        <f t="shared" si="21"/>
        <v>A</v>
      </c>
      <c r="W26" s="703" t="str">
        <f t="shared" si="22"/>
        <v>A</v>
      </c>
      <c r="X26" s="703" t="str">
        <f t="shared" si="23"/>
        <v>A</v>
      </c>
      <c r="Y26" s="703" t="str">
        <f t="shared" si="24"/>
        <v>A</v>
      </c>
      <c r="Z26" s="703" t="str">
        <f t="shared" si="25"/>
        <v>A</v>
      </c>
      <c r="AA26" s="703" t="str">
        <f t="shared" si="26"/>
        <v>A</v>
      </c>
      <c r="AB26" s="703" t="str">
        <f t="shared" si="27"/>
        <v>A</v>
      </c>
      <c r="AC26" s="703" t="str">
        <f t="shared" si="28"/>
        <v>A</v>
      </c>
      <c r="AD26" s="804"/>
      <c r="AE26" s="804"/>
      <c r="AF26" s="791"/>
      <c r="AG26" s="798"/>
      <c r="AH26" s="950"/>
      <c r="AI26" s="732"/>
      <c r="AJ26" s="733"/>
    </row>
    <row r="27" spans="1:52" hidden="1" outlineLevel="1" x14ac:dyDescent="0.25">
      <c r="A27" s="159"/>
      <c r="B27" s="1359"/>
      <c r="C27" s="667" t="str">
        <f>'Optimalizačné opatrenia'!$B$5</f>
        <v>Centralizácia</v>
      </c>
      <c r="D27" s="718" t="s">
        <v>530</v>
      </c>
      <c r="E27" s="703" t="s">
        <v>530</v>
      </c>
      <c r="F27" s="703" t="s">
        <v>530</v>
      </c>
      <c r="G27" s="703" t="str">
        <f t="shared" si="14"/>
        <v>A</v>
      </c>
      <c r="H27" s="703"/>
      <c r="I27" s="703"/>
      <c r="J27" s="703"/>
      <c r="K27" s="703"/>
      <c r="L27" s="703"/>
      <c r="M27" s="703"/>
      <c r="N27" s="703" t="s">
        <v>530</v>
      </c>
      <c r="O27" s="703"/>
      <c r="P27" s="703" t="str">
        <f t="shared" si="15"/>
        <v>A</v>
      </c>
      <c r="Q27" s="703" t="str">
        <f t="shared" si="16"/>
        <v>A</v>
      </c>
      <c r="R27" s="703" t="str">
        <f t="shared" si="17"/>
        <v>A</v>
      </c>
      <c r="S27" s="703" t="str">
        <f t="shared" si="18"/>
        <v>A</v>
      </c>
      <c r="T27" s="703" t="str">
        <f t="shared" si="19"/>
        <v>A</v>
      </c>
      <c r="U27" s="703" t="str">
        <f t="shared" si="20"/>
        <v>A</v>
      </c>
      <c r="V27" s="703" t="str">
        <f t="shared" si="21"/>
        <v>A</v>
      </c>
      <c r="W27" s="703" t="str">
        <f t="shared" si="22"/>
        <v>A</v>
      </c>
      <c r="X27" s="703" t="str">
        <f t="shared" si="23"/>
        <v>A</v>
      </c>
      <c r="Y27" s="703" t="str">
        <f t="shared" si="24"/>
        <v>A</v>
      </c>
      <c r="Z27" s="703" t="str">
        <f t="shared" si="25"/>
        <v>A</v>
      </c>
      <c r="AA27" s="703" t="str">
        <f t="shared" si="26"/>
        <v>A</v>
      </c>
      <c r="AB27" s="703" t="str">
        <f t="shared" si="27"/>
        <v>A</v>
      </c>
      <c r="AC27" s="703" t="str">
        <f t="shared" si="28"/>
        <v>A</v>
      </c>
      <c r="AD27" s="804"/>
      <c r="AE27" s="804"/>
      <c r="AF27" s="791"/>
      <c r="AG27" s="798"/>
      <c r="AH27" s="950"/>
      <c r="AI27" s="732"/>
      <c r="AJ27" s="733"/>
    </row>
    <row r="28" spans="1:52" hidden="1" outlineLevel="1" x14ac:dyDescent="0.25">
      <c r="A28" s="159"/>
      <c r="B28" s="1359"/>
      <c r="C28" s="667" t="str">
        <f>'Optimalizačné opatrenia'!$B$6</f>
        <v>Elektronizácia</v>
      </c>
      <c r="D28" s="718" t="s">
        <v>530</v>
      </c>
      <c r="E28" s="703" t="s">
        <v>530</v>
      </c>
      <c r="F28" s="703" t="s">
        <v>530</v>
      </c>
      <c r="G28" s="703" t="str">
        <f t="shared" si="14"/>
        <v>A</v>
      </c>
      <c r="H28" s="703"/>
      <c r="I28" s="703"/>
      <c r="J28" s="703"/>
      <c r="K28" s="703"/>
      <c r="L28" s="703"/>
      <c r="M28" s="703"/>
      <c r="N28" s="703" t="s">
        <v>530</v>
      </c>
      <c r="O28" s="703"/>
      <c r="P28" s="703" t="str">
        <f t="shared" si="15"/>
        <v>A</v>
      </c>
      <c r="Q28" s="703" t="str">
        <f t="shared" si="16"/>
        <v>A</v>
      </c>
      <c r="R28" s="703" t="str">
        <f t="shared" si="17"/>
        <v>A</v>
      </c>
      <c r="S28" s="703" t="str">
        <f t="shared" si="18"/>
        <v>A</v>
      </c>
      <c r="T28" s="703" t="str">
        <f t="shared" si="19"/>
        <v>A</v>
      </c>
      <c r="U28" s="703" t="str">
        <f t="shared" si="20"/>
        <v>A</v>
      </c>
      <c r="V28" s="703" t="str">
        <f t="shared" si="21"/>
        <v>A</v>
      </c>
      <c r="W28" s="703" t="str">
        <f t="shared" si="22"/>
        <v>A</v>
      </c>
      <c r="X28" s="703" t="str">
        <f t="shared" si="23"/>
        <v>A</v>
      </c>
      <c r="Y28" s="703" t="str">
        <f t="shared" si="24"/>
        <v>A</v>
      </c>
      <c r="Z28" s="703" t="str">
        <f t="shared" si="25"/>
        <v>A</v>
      </c>
      <c r="AA28" s="703" t="str">
        <f t="shared" si="26"/>
        <v>A</v>
      </c>
      <c r="AB28" s="703" t="str">
        <f t="shared" si="27"/>
        <v>A</v>
      </c>
      <c r="AC28" s="703" t="str">
        <f t="shared" si="28"/>
        <v>A</v>
      </c>
      <c r="AD28" s="804"/>
      <c r="AE28" s="804"/>
      <c r="AF28" s="791"/>
      <c r="AG28" s="798"/>
      <c r="AH28" s="950"/>
      <c r="AI28" s="732"/>
      <c r="AJ28" s="733"/>
    </row>
    <row r="29" spans="1:52" hidden="1" outlineLevel="1" x14ac:dyDescent="0.25">
      <c r="A29" s="159"/>
      <c r="B29" s="1359"/>
      <c r="C29" s="667" t="str">
        <f>'Optimalizačné opatrenia'!$B$7</f>
        <v>Automatizácia</v>
      </c>
      <c r="D29" s="718" t="s">
        <v>530</v>
      </c>
      <c r="E29" s="703" t="s">
        <v>530</v>
      </c>
      <c r="F29" s="703" t="s">
        <v>530</v>
      </c>
      <c r="G29" s="703" t="str">
        <f t="shared" si="14"/>
        <v>A</v>
      </c>
      <c r="H29" s="703"/>
      <c r="I29" s="703"/>
      <c r="J29" s="703"/>
      <c r="K29" s="703"/>
      <c r="L29" s="703"/>
      <c r="M29" s="703"/>
      <c r="N29" s="703" t="s">
        <v>530</v>
      </c>
      <c r="O29" s="703"/>
      <c r="P29" s="703" t="str">
        <f t="shared" si="15"/>
        <v>A</v>
      </c>
      <c r="Q29" s="703" t="str">
        <f t="shared" si="16"/>
        <v>A</v>
      </c>
      <c r="R29" s="703" t="str">
        <f t="shared" si="17"/>
        <v>A</v>
      </c>
      <c r="S29" s="703" t="str">
        <f t="shared" si="18"/>
        <v>A</v>
      </c>
      <c r="T29" s="703" t="str">
        <f t="shared" si="19"/>
        <v>A</v>
      </c>
      <c r="U29" s="703" t="str">
        <f t="shared" si="20"/>
        <v>A</v>
      </c>
      <c r="V29" s="703" t="str">
        <f t="shared" si="21"/>
        <v>A</v>
      </c>
      <c r="W29" s="703" t="str">
        <f t="shared" si="22"/>
        <v>A</v>
      </c>
      <c r="X29" s="703" t="str">
        <f t="shared" si="23"/>
        <v>A</v>
      </c>
      <c r="Y29" s="703" t="str">
        <f t="shared" si="24"/>
        <v>A</v>
      </c>
      <c r="Z29" s="703" t="str">
        <f t="shared" si="25"/>
        <v>A</v>
      </c>
      <c r="AA29" s="703" t="str">
        <f t="shared" si="26"/>
        <v>A</v>
      </c>
      <c r="AB29" s="703" t="str">
        <f t="shared" si="27"/>
        <v>A</v>
      </c>
      <c r="AC29" s="703" t="str">
        <f t="shared" si="28"/>
        <v>A</v>
      </c>
      <c r="AD29" s="804"/>
      <c r="AE29" s="804"/>
      <c r="AF29" s="791"/>
      <c r="AG29" s="798"/>
      <c r="AH29" s="950"/>
      <c r="AI29" s="732"/>
      <c r="AJ29" s="733"/>
    </row>
    <row r="30" spans="1:52" hidden="1" outlineLevel="1" x14ac:dyDescent="0.25">
      <c r="A30" s="159"/>
      <c r="B30" s="1359"/>
      <c r="C30" s="667" t="str">
        <f>'Optimalizačné opatrenia'!$B$8</f>
        <v>Bezpečnosť</v>
      </c>
      <c r="D30" s="718" t="s">
        <v>530</v>
      </c>
      <c r="E30" s="703" t="s">
        <v>530</v>
      </c>
      <c r="F30" s="703" t="s">
        <v>530</v>
      </c>
      <c r="G30" s="703" t="str">
        <f t="shared" si="14"/>
        <v>A</v>
      </c>
      <c r="H30" s="703"/>
      <c r="I30" s="703"/>
      <c r="J30" s="703"/>
      <c r="K30" s="703"/>
      <c r="L30" s="703"/>
      <c r="M30" s="703"/>
      <c r="N30" s="703" t="s">
        <v>530</v>
      </c>
      <c r="O30" s="703"/>
      <c r="P30" s="703" t="str">
        <f t="shared" si="15"/>
        <v>A</v>
      </c>
      <c r="Q30" s="703" t="str">
        <f t="shared" si="16"/>
        <v>A</v>
      </c>
      <c r="R30" s="703" t="str">
        <f t="shared" si="17"/>
        <v>A</v>
      </c>
      <c r="S30" s="703" t="str">
        <f t="shared" si="18"/>
        <v>A</v>
      </c>
      <c r="T30" s="703" t="str">
        <f t="shared" si="19"/>
        <v>A</v>
      </c>
      <c r="U30" s="703" t="str">
        <f t="shared" si="20"/>
        <v>A</v>
      </c>
      <c r="V30" s="703" t="str">
        <f t="shared" si="21"/>
        <v>A</v>
      </c>
      <c r="W30" s="703" t="str">
        <f t="shared" si="22"/>
        <v>A</v>
      </c>
      <c r="X30" s="703" t="str">
        <f t="shared" si="23"/>
        <v>A</v>
      </c>
      <c r="Y30" s="703" t="str">
        <f t="shared" si="24"/>
        <v>A</v>
      </c>
      <c r="Z30" s="703" t="str">
        <f t="shared" si="25"/>
        <v>A</v>
      </c>
      <c r="AA30" s="703" t="str">
        <f t="shared" si="26"/>
        <v>A</v>
      </c>
      <c r="AB30" s="703" t="str">
        <f t="shared" si="27"/>
        <v>A</v>
      </c>
      <c r="AC30" s="703" t="str">
        <f t="shared" si="28"/>
        <v>A</v>
      </c>
      <c r="AD30" s="804"/>
      <c r="AE30" s="804"/>
      <c r="AF30" s="791"/>
      <c r="AG30" s="798"/>
      <c r="AH30" s="950"/>
      <c r="AI30" s="732"/>
      <c r="AJ30" s="733"/>
    </row>
    <row r="31" spans="1:52" hidden="1" outlineLevel="1" x14ac:dyDescent="0.25">
      <c r="A31" s="159"/>
      <c r="B31" s="1359"/>
      <c r="C31" s="667" t="str">
        <f>'Optimalizačné opatrenia'!$B$9</f>
        <v>Auditovateľnosť</v>
      </c>
      <c r="D31" s="718" t="s">
        <v>530</v>
      </c>
      <c r="E31" s="703" t="s">
        <v>530</v>
      </c>
      <c r="F31" s="703" t="s">
        <v>530</v>
      </c>
      <c r="G31" s="703" t="str">
        <f t="shared" si="14"/>
        <v>A</v>
      </c>
      <c r="H31" s="703"/>
      <c r="I31" s="703"/>
      <c r="J31" s="703"/>
      <c r="K31" s="703"/>
      <c r="L31" s="703"/>
      <c r="M31" s="703"/>
      <c r="N31" s="703" t="s">
        <v>530</v>
      </c>
      <c r="O31" s="703"/>
      <c r="P31" s="703" t="str">
        <f t="shared" si="15"/>
        <v>A</v>
      </c>
      <c r="Q31" s="703" t="str">
        <f t="shared" si="16"/>
        <v>A</v>
      </c>
      <c r="R31" s="703" t="str">
        <f t="shared" si="17"/>
        <v>A</v>
      </c>
      <c r="S31" s="703" t="str">
        <f t="shared" si="18"/>
        <v>A</v>
      </c>
      <c r="T31" s="703" t="str">
        <f t="shared" si="19"/>
        <v>A</v>
      </c>
      <c r="U31" s="703" t="str">
        <f t="shared" si="20"/>
        <v>A</v>
      </c>
      <c r="V31" s="703" t="str">
        <f t="shared" si="21"/>
        <v>A</v>
      </c>
      <c r="W31" s="703" t="str">
        <f t="shared" si="22"/>
        <v>A</v>
      </c>
      <c r="X31" s="703" t="str">
        <f t="shared" si="23"/>
        <v>A</v>
      </c>
      <c r="Y31" s="703" t="str">
        <f t="shared" si="24"/>
        <v>A</v>
      </c>
      <c r="Z31" s="703" t="str">
        <f t="shared" si="25"/>
        <v>A</v>
      </c>
      <c r="AA31" s="703" t="str">
        <f t="shared" si="26"/>
        <v>A</v>
      </c>
      <c r="AB31" s="703" t="str">
        <f t="shared" si="27"/>
        <v>A</v>
      </c>
      <c r="AC31" s="703" t="str">
        <f t="shared" si="28"/>
        <v>A</v>
      </c>
      <c r="AD31" s="804"/>
      <c r="AE31" s="804"/>
      <c r="AF31" s="791"/>
      <c r="AG31" s="798"/>
      <c r="AH31" s="950"/>
      <c r="AI31" s="732"/>
      <c r="AJ31" s="733"/>
    </row>
    <row r="32" spans="1:52" hidden="1" outlineLevel="1" x14ac:dyDescent="0.25">
      <c r="A32" s="159"/>
      <c r="B32" s="1359"/>
      <c r="C32" s="667" t="str">
        <f>'Optimalizačné opatrenia'!$B$10</f>
        <v>Transparentnosť</v>
      </c>
      <c r="D32" s="718" t="s">
        <v>530</v>
      </c>
      <c r="E32" s="703" t="s">
        <v>530</v>
      </c>
      <c r="F32" s="703" t="s">
        <v>530</v>
      </c>
      <c r="G32" s="703" t="str">
        <f t="shared" si="14"/>
        <v>N</v>
      </c>
      <c r="H32" s="703"/>
      <c r="I32" s="703"/>
      <c r="J32" s="703"/>
      <c r="K32" s="703"/>
      <c r="L32" s="703"/>
      <c r="M32" s="703"/>
      <c r="N32" s="703" t="s">
        <v>530</v>
      </c>
      <c r="O32" s="703"/>
      <c r="P32" s="703" t="str">
        <f t="shared" si="15"/>
        <v>A</v>
      </c>
      <c r="Q32" s="703" t="str">
        <f t="shared" si="16"/>
        <v>N</v>
      </c>
      <c r="R32" s="703" t="str">
        <f t="shared" si="17"/>
        <v>N</v>
      </c>
      <c r="S32" s="703" t="str">
        <f t="shared" si="18"/>
        <v>N</v>
      </c>
      <c r="T32" s="703" t="str">
        <f t="shared" si="19"/>
        <v>N</v>
      </c>
      <c r="U32" s="703" t="str">
        <f t="shared" si="20"/>
        <v>N</v>
      </c>
      <c r="V32" s="703" t="str">
        <f t="shared" si="21"/>
        <v>A</v>
      </c>
      <c r="W32" s="703" t="str">
        <f t="shared" si="22"/>
        <v>N</v>
      </c>
      <c r="X32" s="703" t="str">
        <f t="shared" si="23"/>
        <v>N</v>
      </c>
      <c r="Y32" s="703" t="str">
        <f t="shared" si="24"/>
        <v>N</v>
      </c>
      <c r="Z32" s="703" t="str">
        <f t="shared" si="25"/>
        <v>N</v>
      </c>
      <c r="AA32" s="703" t="str">
        <f t="shared" si="26"/>
        <v>A</v>
      </c>
      <c r="AB32" s="703" t="str">
        <f t="shared" si="27"/>
        <v>N</v>
      </c>
      <c r="AC32" s="703" t="str">
        <f t="shared" si="28"/>
        <v>N</v>
      </c>
      <c r="AD32" s="804"/>
      <c r="AE32" s="804"/>
      <c r="AF32" s="791"/>
      <c r="AG32" s="798"/>
      <c r="AH32" s="950"/>
      <c r="AI32" s="732"/>
      <c r="AJ32" s="733"/>
    </row>
    <row r="33" spans="1:52" hidden="1" outlineLevel="1" x14ac:dyDescent="0.25">
      <c r="A33" s="159"/>
      <c r="B33" s="1359"/>
      <c r="C33" s="667" t="str">
        <f>'Optimalizačné opatrenia'!$B$11</f>
        <v>Analyzovatelnosť</v>
      </c>
      <c r="D33" s="718" t="s">
        <v>530</v>
      </c>
      <c r="E33" s="703" t="s">
        <v>530</v>
      </c>
      <c r="F33" s="703" t="s">
        <v>530</v>
      </c>
      <c r="G33" s="703" t="str">
        <f t="shared" si="14"/>
        <v>A</v>
      </c>
      <c r="H33" s="703"/>
      <c r="I33" s="703"/>
      <c r="J33" s="703"/>
      <c r="K33" s="703"/>
      <c r="L33" s="703"/>
      <c r="M33" s="703"/>
      <c r="N33" s="703" t="s">
        <v>530</v>
      </c>
      <c r="O33" s="703"/>
      <c r="P33" s="703" t="str">
        <f t="shared" si="15"/>
        <v>A</v>
      </c>
      <c r="Q33" s="703" t="str">
        <f t="shared" si="16"/>
        <v>A</v>
      </c>
      <c r="R33" s="703" t="str">
        <f t="shared" si="17"/>
        <v>A</v>
      </c>
      <c r="S33" s="703" t="str">
        <f t="shared" si="18"/>
        <v>A</v>
      </c>
      <c r="T33" s="703" t="str">
        <f t="shared" si="19"/>
        <v>A</v>
      </c>
      <c r="U33" s="703" t="str">
        <f t="shared" si="20"/>
        <v>A</v>
      </c>
      <c r="V33" s="703" t="str">
        <f t="shared" si="21"/>
        <v>A</v>
      </c>
      <c r="W33" s="703" t="str">
        <f t="shared" si="22"/>
        <v>A</v>
      </c>
      <c r="X33" s="703" t="str">
        <f t="shared" si="23"/>
        <v>A</v>
      </c>
      <c r="Y33" s="703" t="str">
        <f t="shared" si="24"/>
        <v>A</v>
      </c>
      <c r="Z33" s="703" t="str">
        <f t="shared" si="25"/>
        <v>A</v>
      </c>
      <c r="AA33" s="703" t="str">
        <f t="shared" si="26"/>
        <v>A</v>
      </c>
      <c r="AB33" s="703" t="str">
        <f t="shared" si="27"/>
        <v>A</v>
      </c>
      <c r="AC33" s="703" t="str">
        <f t="shared" si="28"/>
        <v>A</v>
      </c>
      <c r="AD33" s="804"/>
      <c r="AE33" s="804"/>
      <c r="AF33" s="791"/>
      <c r="AG33" s="798"/>
      <c r="AH33" s="950"/>
      <c r="AI33" s="732"/>
      <c r="AJ33" s="733"/>
    </row>
    <row r="34" spans="1:52" hidden="1" outlineLevel="1" x14ac:dyDescent="0.25">
      <c r="A34" s="159"/>
      <c r="B34" s="1359"/>
      <c r="C34" s="667" t="str">
        <f>'Optimalizačné opatrenia'!$B$12</f>
        <v>Integrácia</v>
      </c>
      <c r="D34" s="718" t="s">
        <v>530</v>
      </c>
      <c r="E34" s="703" t="s">
        <v>530</v>
      </c>
      <c r="F34" s="703" t="s">
        <v>530</v>
      </c>
      <c r="G34" s="703" t="str">
        <f t="shared" si="14"/>
        <v>A</v>
      </c>
      <c r="H34" s="703"/>
      <c r="I34" s="703"/>
      <c r="J34" s="703"/>
      <c r="K34" s="703"/>
      <c r="L34" s="703"/>
      <c r="M34" s="703"/>
      <c r="N34" s="703" t="s">
        <v>530</v>
      </c>
      <c r="O34" s="703"/>
      <c r="P34" s="703" t="str">
        <f t="shared" si="15"/>
        <v>A</v>
      </c>
      <c r="Q34" s="703" t="str">
        <f t="shared" si="16"/>
        <v>A</v>
      </c>
      <c r="R34" s="703" t="str">
        <f t="shared" si="17"/>
        <v>A</v>
      </c>
      <c r="S34" s="703" t="str">
        <f t="shared" si="18"/>
        <v>A</v>
      </c>
      <c r="T34" s="703" t="str">
        <f t="shared" si="19"/>
        <v>A</v>
      </c>
      <c r="U34" s="703" t="str">
        <f t="shared" si="20"/>
        <v>A</v>
      </c>
      <c r="V34" s="703" t="str">
        <f t="shared" si="21"/>
        <v>A</v>
      </c>
      <c r="W34" s="703" t="str">
        <f t="shared" si="22"/>
        <v>A</v>
      </c>
      <c r="X34" s="703" t="str">
        <f t="shared" si="23"/>
        <v>A</v>
      </c>
      <c r="Y34" s="703" t="str">
        <f t="shared" si="24"/>
        <v>A</v>
      </c>
      <c r="Z34" s="703" t="str">
        <f t="shared" si="25"/>
        <v>A</v>
      </c>
      <c r="AA34" s="703" t="str">
        <f t="shared" si="26"/>
        <v>A</v>
      </c>
      <c r="AB34" s="703" t="str">
        <f t="shared" si="27"/>
        <v>A</v>
      </c>
      <c r="AC34" s="703" t="str">
        <f t="shared" si="28"/>
        <v>A</v>
      </c>
      <c r="AD34" s="804"/>
      <c r="AE34" s="804"/>
      <c r="AF34" s="791"/>
      <c r="AG34" s="798"/>
      <c r="AH34" s="950"/>
      <c r="AI34" s="732"/>
      <c r="AJ34" s="733"/>
    </row>
    <row r="35" spans="1:52" hidden="1" outlineLevel="1" x14ac:dyDescent="0.25">
      <c r="A35" s="159"/>
      <c r="B35" s="1359"/>
      <c r="C35" s="672" t="str">
        <f>'Optimalizačné opatrenia'!$B$13</f>
        <v>Proaktivita</v>
      </c>
      <c r="D35" s="718" t="s">
        <v>530</v>
      </c>
      <c r="E35" s="703" t="s">
        <v>530</v>
      </c>
      <c r="F35" s="703" t="s">
        <v>530</v>
      </c>
      <c r="G35" s="703" t="str">
        <f t="shared" si="14"/>
        <v>N</v>
      </c>
      <c r="H35" s="703"/>
      <c r="I35" s="703"/>
      <c r="J35" s="703"/>
      <c r="K35" s="703"/>
      <c r="L35" s="703"/>
      <c r="M35" s="703"/>
      <c r="N35" s="703" t="s">
        <v>530</v>
      </c>
      <c r="O35" s="703"/>
      <c r="P35" s="703" t="str">
        <f t="shared" si="15"/>
        <v>N</v>
      </c>
      <c r="Q35" s="703" t="str">
        <f t="shared" si="16"/>
        <v>N</v>
      </c>
      <c r="R35" s="703" t="str">
        <f t="shared" si="17"/>
        <v>A</v>
      </c>
      <c r="S35" s="703" t="str">
        <f t="shared" si="18"/>
        <v>A</v>
      </c>
      <c r="T35" s="703" t="str">
        <f t="shared" si="19"/>
        <v>A</v>
      </c>
      <c r="U35" s="703" t="str">
        <f t="shared" si="20"/>
        <v>N</v>
      </c>
      <c r="V35" s="703" t="str">
        <f t="shared" si="21"/>
        <v>A</v>
      </c>
      <c r="W35" s="703" t="str">
        <f t="shared" si="22"/>
        <v>N</v>
      </c>
      <c r="X35" s="703" t="str">
        <f t="shared" si="23"/>
        <v>N</v>
      </c>
      <c r="Y35" s="703" t="str">
        <f t="shared" si="24"/>
        <v>A</v>
      </c>
      <c r="Z35" s="703" t="str">
        <f t="shared" si="25"/>
        <v>A</v>
      </c>
      <c r="AA35" s="703" t="str">
        <f t="shared" si="26"/>
        <v>A</v>
      </c>
      <c r="AB35" s="703" t="str">
        <f t="shared" si="27"/>
        <v>N</v>
      </c>
      <c r="AC35" s="703" t="str">
        <f t="shared" si="28"/>
        <v>N</v>
      </c>
      <c r="AD35" s="804"/>
      <c r="AE35" s="804"/>
      <c r="AF35" s="791"/>
      <c r="AG35" s="798"/>
      <c r="AH35" s="950"/>
      <c r="AI35" s="732"/>
      <c r="AJ35" s="733"/>
    </row>
    <row r="36" spans="1:52" hidden="1" outlineLevel="1" x14ac:dyDescent="0.25">
      <c r="A36" s="159"/>
      <c r="B36" s="720"/>
      <c r="C36" s="722" t="s">
        <v>538</v>
      </c>
      <c r="D36" s="723">
        <v>0</v>
      </c>
      <c r="E36" s="721">
        <v>0</v>
      </c>
      <c r="F36" s="724">
        <v>0</v>
      </c>
      <c r="G36" s="724">
        <f t="shared" si="14"/>
        <v>0.3</v>
      </c>
      <c r="H36" s="724"/>
      <c r="I36" s="724"/>
      <c r="J36" s="724"/>
      <c r="K36" s="724"/>
      <c r="L36" s="724"/>
      <c r="M36" s="724"/>
      <c r="N36" s="724">
        <v>0</v>
      </c>
      <c r="O36" s="724"/>
      <c r="P36" s="724">
        <f t="shared" si="15"/>
        <v>0.45</v>
      </c>
      <c r="Q36" s="724">
        <f t="shared" si="16"/>
        <v>0.3</v>
      </c>
      <c r="R36" s="724">
        <f t="shared" si="17"/>
        <v>0.4</v>
      </c>
      <c r="S36" s="724">
        <f t="shared" si="18"/>
        <v>0.4</v>
      </c>
      <c r="T36" s="724">
        <f t="shared" si="19"/>
        <v>0.4</v>
      </c>
      <c r="U36" s="724">
        <f t="shared" si="20"/>
        <v>0.3</v>
      </c>
      <c r="V36" s="724">
        <f t="shared" si="21"/>
        <v>0.5</v>
      </c>
      <c r="W36" s="724">
        <f t="shared" si="22"/>
        <v>0.3</v>
      </c>
      <c r="X36" s="724">
        <f t="shared" si="23"/>
        <v>0.3</v>
      </c>
      <c r="Y36" s="724">
        <f t="shared" si="24"/>
        <v>0.4</v>
      </c>
      <c r="Z36" s="724">
        <f t="shared" si="25"/>
        <v>0.4</v>
      </c>
      <c r="AA36" s="724">
        <f t="shared" si="26"/>
        <v>0.5</v>
      </c>
      <c r="AB36" s="724">
        <f t="shared" si="27"/>
        <v>0.3</v>
      </c>
      <c r="AC36" s="724">
        <f t="shared" si="28"/>
        <v>0.3</v>
      </c>
      <c r="AD36" s="805"/>
      <c r="AE36" s="805"/>
      <c r="AF36" s="792"/>
      <c r="AG36" s="799"/>
      <c r="AH36" s="951"/>
      <c r="AI36" s="735"/>
      <c r="AJ36" s="736"/>
    </row>
    <row r="37" spans="1:52" ht="30" collapsed="1" x14ac:dyDescent="0.25">
      <c r="A37" s="159">
        <f ca="1">OFFSET(A37,-14,0)+1</f>
        <v>3</v>
      </c>
      <c r="B37" s="234" t="str">
        <f ca="1">'Procesy - AS IS'!B13</f>
        <v>Meranie č. 3</v>
      </c>
      <c r="C37" s="650" t="str">
        <f>'Procesy - AS IS'!C13</f>
        <v>BVS, a.s., Mimoriadne zhoršenie vôd, 053/015/2016/BA</v>
      </c>
      <c r="D37" s="726">
        <f>-'Procesy - AS IS'!D15*D50</f>
        <v>0</v>
      </c>
      <c r="E37" s="653">
        <f>-'Procesy - AS IS'!E15*E50</f>
        <v>0</v>
      </c>
      <c r="F37" s="653">
        <f>-'Procesy - AS IS'!F15*F50</f>
        <v>0</v>
      </c>
      <c r="G37" s="653">
        <f>-'Procesy - AS IS'!G15*G50</f>
        <v>-3.4585284280936452</v>
      </c>
      <c r="H37" s="653" t="s">
        <v>555</v>
      </c>
      <c r="I37" s="653" t="s">
        <v>555</v>
      </c>
      <c r="J37" s="653" t="s">
        <v>555</v>
      </c>
      <c r="K37" s="653" t="s">
        <v>555</v>
      </c>
      <c r="L37" s="653" t="s">
        <v>555</v>
      </c>
      <c r="M37" s="653" t="s">
        <v>555</v>
      </c>
      <c r="N37" s="653">
        <f>-'Procesy - AS IS'!N15*N50</f>
        <v>0</v>
      </c>
      <c r="O37" s="653" t="s">
        <v>559</v>
      </c>
      <c r="P37" s="653">
        <f>-'Procesy - AS IS'!P15*P50</f>
        <v>-1.8</v>
      </c>
      <c r="Q37" s="653">
        <f>-'Procesy - AS IS'!Q15*Q50</f>
        <v>0</v>
      </c>
      <c r="R37" s="653">
        <f>-'Procesy - AS IS'!R15*R50</f>
        <v>-8.1361256544502609</v>
      </c>
      <c r="S37" s="653">
        <f>-'Procesy - AS IS'!S15*S50</f>
        <v>-4.1884816753926701</v>
      </c>
      <c r="T37" s="653">
        <f>-'Procesy - AS IS'!T15*T50</f>
        <v>-1.3947643979057593</v>
      </c>
      <c r="U37" s="653">
        <f>-'Procesy - AS IS'!U15*U50</f>
        <v>-1.0052356020942408</v>
      </c>
      <c r="V37" s="653">
        <f>-'Procesy - AS IS'!V15*V50</f>
        <v>-0.25</v>
      </c>
      <c r="W37" s="653">
        <f>-'Procesy - AS IS'!W15*W50</f>
        <v>-0.49005235602094238</v>
      </c>
      <c r="X37" s="653">
        <f>-'Procesy - AS IS'!X15*X50</f>
        <v>0</v>
      </c>
      <c r="Y37" s="653">
        <f>-'Procesy - AS IS'!Y15*Y50</f>
        <v>-2.4502617801047117</v>
      </c>
      <c r="Z37" s="653">
        <f>-'Procesy - AS IS'!Z15*Z50</f>
        <v>0</v>
      </c>
      <c r="AA37" s="653">
        <f>-'Procesy - AS IS'!AA15*AA50</f>
        <v>0</v>
      </c>
      <c r="AB37" s="653">
        <f>-'Procesy - AS IS'!AB15*AB50</f>
        <v>0</v>
      </c>
      <c r="AC37" s="653">
        <f>-'Procesy - AS IS'!AC15*AC50</f>
        <v>0</v>
      </c>
      <c r="AD37" s="754"/>
      <c r="AE37" s="754">
        <f>SUM(D37:AC37)</f>
        <v>-23.17344989406223</v>
      </c>
      <c r="AF37" s="728">
        <f>AE37/'Procesy - AS IS'!AD15</f>
        <v>-0.27719733198527147</v>
      </c>
      <c r="AG37" s="797">
        <f>('Procesy - AS IS'!AG15/(1+$AF37)-'Procesy - AS IS'!AG15)/2</f>
        <v>36.624581474364447</v>
      </c>
      <c r="AH37" s="949">
        <f>('Procesy - AS IS'!AH15/(1+$AF37)-'Procesy - AS IS'!AH15)/2</f>
        <v>21.284442636934315</v>
      </c>
      <c r="AI37" s="730">
        <f>('Procesy - AS IS'!AI15/(1+$AF37)-'Procesy - AS IS'!AI15)/2</f>
        <v>14.956635366494382</v>
      </c>
      <c r="AJ37" s="731">
        <f>('Procesy - AS IS'!AJ15/(1+$AF37)-'Procesy - AS IS'!AJ15)/2</f>
        <v>0</v>
      </c>
      <c r="AL37" s="232"/>
      <c r="AZ37" s="227"/>
    </row>
    <row r="38" spans="1:52" hidden="1" outlineLevel="1" x14ac:dyDescent="0.25">
      <c r="A38" s="159"/>
      <c r="B38" s="1358" t="s">
        <v>528</v>
      </c>
      <c r="C38" s="667" t="str">
        <f>'Optimalizačné opatrenia'!$B$2</f>
        <v>Modernizácia</v>
      </c>
      <c r="D38" s="703" t="str">
        <f t="shared" ref="D38:D50" si="29">G10</f>
        <v>A</v>
      </c>
      <c r="E38" s="674" t="s">
        <v>530</v>
      </c>
      <c r="F38" s="703" t="s">
        <v>530</v>
      </c>
      <c r="G38" s="703" t="str">
        <f t="shared" ref="G38:G50" si="30">D38</f>
        <v>A</v>
      </c>
      <c r="H38" s="703"/>
      <c r="I38" s="703"/>
      <c r="J38" s="703"/>
      <c r="K38" s="703"/>
      <c r="L38" s="703"/>
      <c r="M38" s="703"/>
      <c r="N38" s="703" t="str">
        <f t="shared" ref="N38:N50" si="31">G38</f>
        <v>A</v>
      </c>
      <c r="O38" s="703"/>
      <c r="P38" s="703" t="str">
        <f t="shared" ref="P38:Q50" si="32">P10</f>
        <v>A</v>
      </c>
      <c r="Q38" s="703" t="str">
        <f t="shared" si="32"/>
        <v>A</v>
      </c>
      <c r="R38" s="703" t="s">
        <v>529</v>
      </c>
      <c r="S38" s="703" t="str">
        <f t="shared" ref="S38:S50" si="33">R38</f>
        <v>A</v>
      </c>
      <c r="T38" s="703" t="str">
        <f t="shared" ref="T38:T50" si="34">R10</f>
        <v>A</v>
      </c>
      <c r="U38" s="703" t="str">
        <f t="shared" ref="U38:U50" si="35">$G38</f>
        <v>A</v>
      </c>
      <c r="V38" s="703" t="str">
        <f t="shared" ref="V38:V50" si="36">V10</f>
        <v>A</v>
      </c>
      <c r="W38" s="703" t="str">
        <f t="shared" ref="W38:X50" si="37">$G38</f>
        <v>A</v>
      </c>
      <c r="X38" s="703" t="str">
        <f t="shared" si="37"/>
        <v>A</v>
      </c>
      <c r="Y38" s="703" t="str">
        <f t="shared" ref="Y38:Y50" si="38">$R38</f>
        <v>A</v>
      </c>
      <c r="Z38" s="703" t="str">
        <f t="shared" ref="Z38:Z50" si="39">R10</f>
        <v>A</v>
      </c>
      <c r="AA38" s="703" t="str">
        <f t="shared" ref="AA38:AA50" si="40">$V38</f>
        <v>A</v>
      </c>
      <c r="AB38" s="703" t="str">
        <f t="shared" ref="AB38:AC50" si="41">$R38</f>
        <v>A</v>
      </c>
      <c r="AC38" s="703" t="str">
        <f t="shared" si="41"/>
        <v>A</v>
      </c>
      <c r="AD38" s="804"/>
      <c r="AE38" s="804"/>
      <c r="AF38" s="791"/>
      <c r="AG38" s="798"/>
      <c r="AH38" s="950"/>
      <c r="AI38" s="732"/>
      <c r="AJ38" s="733"/>
    </row>
    <row r="39" spans="1:52" hidden="1" outlineLevel="1" x14ac:dyDescent="0.25">
      <c r="A39" s="159"/>
      <c r="B39" s="1359"/>
      <c r="C39" s="667" t="str">
        <f>'Optimalizačné opatrenia'!$B$3</f>
        <v>Sfunkčnenie</v>
      </c>
      <c r="D39" s="718" t="str">
        <f t="shared" si="29"/>
        <v>N</v>
      </c>
      <c r="E39" s="703" t="s">
        <v>530</v>
      </c>
      <c r="F39" s="703" t="s">
        <v>530</v>
      </c>
      <c r="G39" s="703" t="str">
        <f t="shared" si="30"/>
        <v>N</v>
      </c>
      <c r="H39" s="703"/>
      <c r="I39" s="703"/>
      <c r="J39" s="703"/>
      <c r="K39" s="703"/>
      <c r="L39" s="703"/>
      <c r="M39" s="703"/>
      <c r="N39" s="703" t="str">
        <f t="shared" si="31"/>
        <v>N</v>
      </c>
      <c r="O39" s="703"/>
      <c r="P39" s="703" t="str">
        <f t="shared" si="32"/>
        <v>N</v>
      </c>
      <c r="Q39" s="703" t="str">
        <f t="shared" si="32"/>
        <v>N</v>
      </c>
      <c r="R39" s="703" t="s">
        <v>530</v>
      </c>
      <c r="S39" s="703" t="str">
        <f t="shared" si="33"/>
        <v>N</v>
      </c>
      <c r="T39" s="703" t="str">
        <f t="shared" si="34"/>
        <v>N</v>
      </c>
      <c r="U39" s="703" t="str">
        <f t="shared" si="35"/>
        <v>N</v>
      </c>
      <c r="V39" s="703" t="str">
        <f t="shared" si="36"/>
        <v>N</v>
      </c>
      <c r="W39" s="703" t="str">
        <f t="shared" si="37"/>
        <v>N</v>
      </c>
      <c r="X39" s="703" t="str">
        <f t="shared" si="37"/>
        <v>N</v>
      </c>
      <c r="Y39" s="703" t="str">
        <f t="shared" si="38"/>
        <v>N</v>
      </c>
      <c r="Z39" s="703" t="str">
        <f t="shared" si="39"/>
        <v>N</v>
      </c>
      <c r="AA39" s="703" t="str">
        <f t="shared" si="40"/>
        <v>N</v>
      </c>
      <c r="AB39" s="703" t="str">
        <f t="shared" si="41"/>
        <v>N</v>
      </c>
      <c r="AC39" s="703" t="str">
        <f t="shared" si="41"/>
        <v>N</v>
      </c>
      <c r="AD39" s="804"/>
      <c r="AE39" s="804"/>
      <c r="AF39" s="791"/>
      <c r="AG39" s="798"/>
      <c r="AH39" s="950"/>
      <c r="AI39" s="732"/>
      <c r="AJ39" s="733"/>
    </row>
    <row r="40" spans="1:52" hidden="1" outlineLevel="1" x14ac:dyDescent="0.25">
      <c r="A40" s="159"/>
      <c r="B40" s="1359"/>
      <c r="C40" s="667" t="str">
        <f>'Optimalizačné opatrenia'!$B$4</f>
        <v>Zjednotenie</v>
      </c>
      <c r="D40" s="718" t="str">
        <f t="shared" si="29"/>
        <v>A</v>
      </c>
      <c r="E40" s="703" t="s">
        <v>530</v>
      </c>
      <c r="F40" s="703" t="s">
        <v>530</v>
      </c>
      <c r="G40" s="703" t="str">
        <f t="shared" si="30"/>
        <v>A</v>
      </c>
      <c r="H40" s="703"/>
      <c r="I40" s="703"/>
      <c r="J40" s="703"/>
      <c r="K40" s="703"/>
      <c r="L40" s="703"/>
      <c r="M40" s="703"/>
      <c r="N40" s="703" t="str">
        <f t="shared" si="31"/>
        <v>A</v>
      </c>
      <c r="O40" s="703"/>
      <c r="P40" s="703" t="str">
        <f t="shared" si="32"/>
        <v>A</v>
      </c>
      <c r="Q40" s="703" t="str">
        <f t="shared" si="32"/>
        <v>A</v>
      </c>
      <c r="R40" s="703" t="s">
        <v>529</v>
      </c>
      <c r="S40" s="703" t="str">
        <f t="shared" si="33"/>
        <v>A</v>
      </c>
      <c r="T40" s="703" t="str">
        <f t="shared" si="34"/>
        <v>A</v>
      </c>
      <c r="U40" s="703" t="str">
        <f t="shared" si="35"/>
        <v>A</v>
      </c>
      <c r="V40" s="703" t="str">
        <f t="shared" si="36"/>
        <v>A</v>
      </c>
      <c r="W40" s="703" t="str">
        <f t="shared" si="37"/>
        <v>A</v>
      </c>
      <c r="X40" s="703" t="str">
        <f t="shared" si="37"/>
        <v>A</v>
      </c>
      <c r="Y40" s="703" t="str">
        <f t="shared" si="38"/>
        <v>A</v>
      </c>
      <c r="Z40" s="703" t="str">
        <f t="shared" si="39"/>
        <v>A</v>
      </c>
      <c r="AA40" s="703" t="str">
        <f t="shared" si="40"/>
        <v>A</v>
      </c>
      <c r="AB40" s="703" t="str">
        <f t="shared" si="41"/>
        <v>A</v>
      </c>
      <c r="AC40" s="703" t="str">
        <f t="shared" si="41"/>
        <v>A</v>
      </c>
      <c r="AD40" s="804"/>
      <c r="AE40" s="804"/>
      <c r="AF40" s="791"/>
      <c r="AG40" s="798"/>
      <c r="AH40" s="950"/>
      <c r="AI40" s="732"/>
      <c r="AJ40" s="733"/>
    </row>
    <row r="41" spans="1:52" hidden="1" outlineLevel="1" x14ac:dyDescent="0.25">
      <c r="A41" s="159"/>
      <c r="B41" s="1359"/>
      <c r="C41" s="667" t="str">
        <f>'Optimalizačné opatrenia'!$B$5</f>
        <v>Centralizácia</v>
      </c>
      <c r="D41" s="718" t="str">
        <f t="shared" si="29"/>
        <v>A</v>
      </c>
      <c r="E41" s="703" t="s">
        <v>530</v>
      </c>
      <c r="F41" s="703" t="s">
        <v>530</v>
      </c>
      <c r="G41" s="703" t="str">
        <f t="shared" si="30"/>
        <v>A</v>
      </c>
      <c r="H41" s="703"/>
      <c r="I41" s="703"/>
      <c r="J41" s="703"/>
      <c r="K41" s="703"/>
      <c r="L41" s="703"/>
      <c r="M41" s="703"/>
      <c r="N41" s="703" t="str">
        <f t="shared" si="31"/>
        <v>A</v>
      </c>
      <c r="O41" s="703"/>
      <c r="P41" s="703" t="str">
        <f t="shared" si="32"/>
        <v>A</v>
      </c>
      <c r="Q41" s="703" t="str">
        <f t="shared" si="32"/>
        <v>A</v>
      </c>
      <c r="R41" s="703" t="s">
        <v>529</v>
      </c>
      <c r="S41" s="703" t="str">
        <f t="shared" si="33"/>
        <v>A</v>
      </c>
      <c r="T41" s="703" t="str">
        <f t="shared" si="34"/>
        <v>A</v>
      </c>
      <c r="U41" s="703" t="str">
        <f t="shared" si="35"/>
        <v>A</v>
      </c>
      <c r="V41" s="703" t="str">
        <f t="shared" si="36"/>
        <v>A</v>
      </c>
      <c r="W41" s="703" t="str">
        <f t="shared" si="37"/>
        <v>A</v>
      </c>
      <c r="X41" s="703" t="str">
        <f t="shared" si="37"/>
        <v>A</v>
      </c>
      <c r="Y41" s="703" t="str">
        <f t="shared" si="38"/>
        <v>A</v>
      </c>
      <c r="Z41" s="703" t="str">
        <f t="shared" si="39"/>
        <v>A</v>
      </c>
      <c r="AA41" s="703" t="str">
        <f t="shared" si="40"/>
        <v>A</v>
      </c>
      <c r="AB41" s="703" t="str">
        <f t="shared" si="41"/>
        <v>A</v>
      </c>
      <c r="AC41" s="703" t="str">
        <f t="shared" si="41"/>
        <v>A</v>
      </c>
      <c r="AD41" s="804"/>
      <c r="AE41" s="804"/>
      <c r="AF41" s="791"/>
      <c r="AG41" s="798"/>
      <c r="AH41" s="950"/>
      <c r="AI41" s="732"/>
      <c r="AJ41" s="733"/>
    </row>
    <row r="42" spans="1:52" hidden="1" outlineLevel="1" x14ac:dyDescent="0.25">
      <c r="A42" s="159"/>
      <c r="B42" s="1359"/>
      <c r="C42" s="667" t="str">
        <f>'Optimalizačné opatrenia'!$B$6</f>
        <v>Elektronizácia</v>
      </c>
      <c r="D42" s="718" t="str">
        <f t="shared" si="29"/>
        <v>A</v>
      </c>
      <c r="E42" s="703" t="s">
        <v>530</v>
      </c>
      <c r="F42" s="703" t="s">
        <v>530</v>
      </c>
      <c r="G42" s="703" t="str">
        <f t="shared" si="30"/>
        <v>A</v>
      </c>
      <c r="H42" s="703"/>
      <c r="I42" s="703"/>
      <c r="J42" s="703"/>
      <c r="K42" s="703"/>
      <c r="L42" s="703"/>
      <c r="M42" s="703"/>
      <c r="N42" s="703" t="str">
        <f t="shared" si="31"/>
        <v>A</v>
      </c>
      <c r="O42" s="703"/>
      <c r="P42" s="703" t="str">
        <f t="shared" si="32"/>
        <v>A</v>
      </c>
      <c r="Q42" s="703" t="str">
        <f t="shared" si="32"/>
        <v>A</v>
      </c>
      <c r="R42" s="703" t="s">
        <v>529</v>
      </c>
      <c r="S42" s="703" t="str">
        <f t="shared" si="33"/>
        <v>A</v>
      </c>
      <c r="T42" s="703" t="str">
        <f t="shared" si="34"/>
        <v>A</v>
      </c>
      <c r="U42" s="703" t="str">
        <f t="shared" si="35"/>
        <v>A</v>
      </c>
      <c r="V42" s="703" t="str">
        <f t="shared" si="36"/>
        <v>A</v>
      </c>
      <c r="W42" s="703" t="str">
        <f t="shared" si="37"/>
        <v>A</v>
      </c>
      <c r="X42" s="703" t="str">
        <f t="shared" si="37"/>
        <v>A</v>
      </c>
      <c r="Y42" s="703" t="str">
        <f t="shared" si="38"/>
        <v>A</v>
      </c>
      <c r="Z42" s="703" t="str">
        <f t="shared" si="39"/>
        <v>A</v>
      </c>
      <c r="AA42" s="703" t="str">
        <f t="shared" si="40"/>
        <v>A</v>
      </c>
      <c r="AB42" s="703" t="str">
        <f t="shared" si="41"/>
        <v>A</v>
      </c>
      <c r="AC42" s="703" t="str">
        <f t="shared" si="41"/>
        <v>A</v>
      </c>
      <c r="AD42" s="804"/>
      <c r="AE42" s="804"/>
      <c r="AF42" s="791"/>
      <c r="AG42" s="798"/>
      <c r="AH42" s="950"/>
      <c r="AI42" s="732"/>
      <c r="AJ42" s="733"/>
    </row>
    <row r="43" spans="1:52" hidden="1" outlineLevel="1" x14ac:dyDescent="0.25">
      <c r="A43" s="159"/>
      <c r="B43" s="1359"/>
      <c r="C43" s="667" t="str">
        <f>'Optimalizačné opatrenia'!$B$7</f>
        <v>Automatizácia</v>
      </c>
      <c r="D43" s="718" t="str">
        <f t="shared" si="29"/>
        <v>A</v>
      </c>
      <c r="E43" s="703" t="s">
        <v>530</v>
      </c>
      <c r="F43" s="703" t="s">
        <v>530</v>
      </c>
      <c r="G43" s="703" t="str">
        <f t="shared" si="30"/>
        <v>A</v>
      </c>
      <c r="H43" s="703"/>
      <c r="I43" s="703"/>
      <c r="J43" s="703"/>
      <c r="K43" s="703"/>
      <c r="L43" s="703"/>
      <c r="M43" s="703"/>
      <c r="N43" s="703" t="str">
        <f t="shared" si="31"/>
        <v>A</v>
      </c>
      <c r="O43" s="703"/>
      <c r="P43" s="703" t="str">
        <f t="shared" si="32"/>
        <v>A</v>
      </c>
      <c r="Q43" s="703" t="str">
        <f t="shared" si="32"/>
        <v>A</v>
      </c>
      <c r="R43" s="703" t="s">
        <v>529</v>
      </c>
      <c r="S43" s="703" t="str">
        <f t="shared" si="33"/>
        <v>A</v>
      </c>
      <c r="T43" s="703" t="str">
        <f t="shared" si="34"/>
        <v>A</v>
      </c>
      <c r="U43" s="703" t="str">
        <f t="shared" si="35"/>
        <v>A</v>
      </c>
      <c r="V43" s="703" t="str">
        <f t="shared" si="36"/>
        <v>A</v>
      </c>
      <c r="W43" s="703" t="str">
        <f t="shared" si="37"/>
        <v>A</v>
      </c>
      <c r="X43" s="703" t="str">
        <f t="shared" si="37"/>
        <v>A</v>
      </c>
      <c r="Y43" s="703" t="str">
        <f t="shared" si="38"/>
        <v>A</v>
      </c>
      <c r="Z43" s="703" t="str">
        <f t="shared" si="39"/>
        <v>A</v>
      </c>
      <c r="AA43" s="703" t="str">
        <f t="shared" si="40"/>
        <v>A</v>
      </c>
      <c r="AB43" s="703" t="str">
        <f t="shared" si="41"/>
        <v>A</v>
      </c>
      <c r="AC43" s="703" t="str">
        <f t="shared" si="41"/>
        <v>A</v>
      </c>
      <c r="AD43" s="804"/>
      <c r="AE43" s="804"/>
      <c r="AF43" s="791"/>
      <c r="AG43" s="798"/>
      <c r="AH43" s="950"/>
      <c r="AI43" s="732"/>
      <c r="AJ43" s="733"/>
    </row>
    <row r="44" spans="1:52" hidden="1" outlineLevel="1" x14ac:dyDescent="0.25">
      <c r="A44" s="159"/>
      <c r="B44" s="1359"/>
      <c r="C44" s="667" t="str">
        <f>'Optimalizačné opatrenia'!$B$8</f>
        <v>Bezpečnosť</v>
      </c>
      <c r="D44" s="718" t="str">
        <f t="shared" si="29"/>
        <v>A</v>
      </c>
      <c r="E44" s="703" t="s">
        <v>530</v>
      </c>
      <c r="F44" s="703" t="s">
        <v>530</v>
      </c>
      <c r="G44" s="703" t="str">
        <f t="shared" si="30"/>
        <v>A</v>
      </c>
      <c r="H44" s="703"/>
      <c r="I44" s="703"/>
      <c r="J44" s="703"/>
      <c r="K44" s="703"/>
      <c r="L44" s="703"/>
      <c r="M44" s="703"/>
      <c r="N44" s="703" t="str">
        <f t="shared" si="31"/>
        <v>A</v>
      </c>
      <c r="O44" s="703"/>
      <c r="P44" s="703" t="str">
        <f t="shared" si="32"/>
        <v>A</v>
      </c>
      <c r="Q44" s="703" t="str">
        <f t="shared" si="32"/>
        <v>A</v>
      </c>
      <c r="R44" s="703" t="s">
        <v>529</v>
      </c>
      <c r="S44" s="703" t="str">
        <f t="shared" si="33"/>
        <v>A</v>
      </c>
      <c r="T44" s="703" t="str">
        <f t="shared" si="34"/>
        <v>A</v>
      </c>
      <c r="U44" s="703" t="str">
        <f t="shared" si="35"/>
        <v>A</v>
      </c>
      <c r="V44" s="703" t="str">
        <f t="shared" si="36"/>
        <v>A</v>
      </c>
      <c r="W44" s="703" t="str">
        <f t="shared" si="37"/>
        <v>A</v>
      </c>
      <c r="X44" s="703" t="str">
        <f t="shared" si="37"/>
        <v>A</v>
      </c>
      <c r="Y44" s="703" t="str">
        <f t="shared" si="38"/>
        <v>A</v>
      </c>
      <c r="Z44" s="703" t="str">
        <f t="shared" si="39"/>
        <v>A</v>
      </c>
      <c r="AA44" s="703" t="str">
        <f t="shared" si="40"/>
        <v>A</v>
      </c>
      <c r="AB44" s="703" t="str">
        <f t="shared" si="41"/>
        <v>A</v>
      </c>
      <c r="AC44" s="703" t="str">
        <f t="shared" si="41"/>
        <v>A</v>
      </c>
      <c r="AD44" s="804"/>
      <c r="AE44" s="804"/>
      <c r="AF44" s="791"/>
      <c r="AG44" s="798"/>
      <c r="AH44" s="950"/>
      <c r="AI44" s="732"/>
      <c r="AJ44" s="733"/>
    </row>
    <row r="45" spans="1:52" hidden="1" outlineLevel="1" x14ac:dyDescent="0.25">
      <c r="A45" s="159"/>
      <c r="B45" s="1359"/>
      <c r="C45" s="667" t="str">
        <f>'Optimalizačné opatrenia'!$B$9</f>
        <v>Auditovateľnosť</v>
      </c>
      <c r="D45" s="718" t="str">
        <f t="shared" si="29"/>
        <v>A</v>
      </c>
      <c r="E45" s="703" t="s">
        <v>530</v>
      </c>
      <c r="F45" s="703" t="s">
        <v>530</v>
      </c>
      <c r="G45" s="703" t="str">
        <f t="shared" si="30"/>
        <v>A</v>
      </c>
      <c r="H45" s="703"/>
      <c r="I45" s="703"/>
      <c r="J45" s="703"/>
      <c r="K45" s="703"/>
      <c r="L45" s="703"/>
      <c r="M45" s="703"/>
      <c r="N45" s="703" t="str">
        <f t="shared" si="31"/>
        <v>A</v>
      </c>
      <c r="O45" s="703"/>
      <c r="P45" s="703" t="str">
        <f t="shared" si="32"/>
        <v>A</v>
      </c>
      <c r="Q45" s="703" t="str">
        <f t="shared" si="32"/>
        <v>A</v>
      </c>
      <c r="R45" s="703" t="s">
        <v>530</v>
      </c>
      <c r="S45" s="703" t="str">
        <f t="shared" si="33"/>
        <v>N</v>
      </c>
      <c r="T45" s="703" t="str">
        <f t="shared" si="34"/>
        <v>A</v>
      </c>
      <c r="U45" s="703" t="str">
        <f t="shared" si="35"/>
        <v>A</v>
      </c>
      <c r="V45" s="703" t="str">
        <f t="shared" si="36"/>
        <v>A</v>
      </c>
      <c r="W45" s="703" t="str">
        <f t="shared" si="37"/>
        <v>A</v>
      </c>
      <c r="X45" s="703" t="str">
        <f t="shared" si="37"/>
        <v>A</v>
      </c>
      <c r="Y45" s="703" t="str">
        <f t="shared" si="38"/>
        <v>N</v>
      </c>
      <c r="Z45" s="703" t="str">
        <f t="shared" si="39"/>
        <v>A</v>
      </c>
      <c r="AA45" s="703" t="str">
        <f t="shared" si="40"/>
        <v>A</v>
      </c>
      <c r="AB45" s="703" t="str">
        <f t="shared" si="41"/>
        <v>N</v>
      </c>
      <c r="AC45" s="703" t="str">
        <f t="shared" si="41"/>
        <v>N</v>
      </c>
      <c r="AD45" s="804"/>
      <c r="AE45" s="804"/>
      <c r="AF45" s="791"/>
      <c r="AG45" s="798"/>
      <c r="AH45" s="950"/>
      <c r="AI45" s="732"/>
      <c r="AJ45" s="733"/>
    </row>
    <row r="46" spans="1:52" hidden="1" outlineLevel="1" x14ac:dyDescent="0.25">
      <c r="A46" s="159"/>
      <c r="B46" s="1359"/>
      <c r="C46" s="667" t="str">
        <f>'Optimalizačné opatrenia'!$B$10</f>
        <v>Transparentnosť</v>
      </c>
      <c r="D46" s="718" t="str">
        <f t="shared" si="29"/>
        <v>N</v>
      </c>
      <c r="E46" s="703" t="s">
        <v>530</v>
      </c>
      <c r="F46" s="703" t="s">
        <v>530</v>
      </c>
      <c r="G46" s="703" t="str">
        <f t="shared" si="30"/>
        <v>N</v>
      </c>
      <c r="H46" s="703"/>
      <c r="I46" s="703"/>
      <c r="J46" s="703"/>
      <c r="K46" s="703"/>
      <c r="L46" s="703"/>
      <c r="M46" s="703"/>
      <c r="N46" s="703" t="str">
        <f t="shared" si="31"/>
        <v>N</v>
      </c>
      <c r="O46" s="703"/>
      <c r="P46" s="703" t="str">
        <f t="shared" si="32"/>
        <v>A</v>
      </c>
      <c r="Q46" s="703" t="str">
        <f t="shared" si="32"/>
        <v>N</v>
      </c>
      <c r="R46" s="703" t="s">
        <v>530</v>
      </c>
      <c r="S46" s="703" t="str">
        <f t="shared" si="33"/>
        <v>N</v>
      </c>
      <c r="T46" s="703" t="str">
        <f t="shared" si="34"/>
        <v>N</v>
      </c>
      <c r="U46" s="703" t="str">
        <f t="shared" si="35"/>
        <v>N</v>
      </c>
      <c r="V46" s="703" t="str">
        <f t="shared" si="36"/>
        <v>A</v>
      </c>
      <c r="W46" s="703" t="str">
        <f t="shared" si="37"/>
        <v>N</v>
      </c>
      <c r="X46" s="703" t="str">
        <f t="shared" si="37"/>
        <v>N</v>
      </c>
      <c r="Y46" s="703" t="str">
        <f t="shared" si="38"/>
        <v>N</v>
      </c>
      <c r="Z46" s="703" t="str">
        <f t="shared" si="39"/>
        <v>N</v>
      </c>
      <c r="AA46" s="703" t="str">
        <f t="shared" si="40"/>
        <v>A</v>
      </c>
      <c r="AB46" s="703" t="str">
        <f t="shared" si="41"/>
        <v>N</v>
      </c>
      <c r="AC46" s="703" t="str">
        <f t="shared" si="41"/>
        <v>N</v>
      </c>
      <c r="AD46" s="804"/>
      <c r="AE46" s="804"/>
      <c r="AF46" s="791"/>
      <c r="AG46" s="798"/>
      <c r="AH46" s="950"/>
      <c r="AI46" s="732"/>
      <c r="AJ46" s="733"/>
    </row>
    <row r="47" spans="1:52" hidden="1" outlineLevel="1" x14ac:dyDescent="0.25">
      <c r="A47" s="159"/>
      <c r="B47" s="1359"/>
      <c r="C47" s="667" t="str">
        <f>'Optimalizačné opatrenia'!$B$11</f>
        <v>Analyzovatelnosť</v>
      </c>
      <c r="D47" s="718" t="str">
        <f t="shared" si="29"/>
        <v>A</v>
      </c>
      <c r="E47" s="703" t="s">
        <v>530</v>
      </c>
      <c r="F47" s="703" t="s">
        <v>530</v>
      </c>
      <c r="G47" s="703" t="str">
        <f t="shared" si="30"/>
        <v>A</v>
      </c>
      <c r="H47" s="703"/>
      <c r="I47" s="703"/>
      <c r="J47" s="703"/>
      <c r="K47" s="703"/>
      <c r="L47" s="703"/>
      <c r="M47" s="703"/>
      <c r="N47" s="703" t="str">
        <f t="shared" si="31"/>
        <v>A</v>
      </c>
      <c r="O47" s="703"/>
      <c r="P47" s="703" t="str">
        <f t="shared" si="32"/>
        <v>A</v>
      </c>
      <c r="Q47" s="703" t="str">
        <f t="shared" si="32"/>
        <v>A</v>
      </c>
      <c r="R47" s="703" t="s">
        <v>530</v>
      </c>
      <c r="S47" s="703" t="str">
        <f t="shared" si="33"/>
        <v>N</v>
      </c>
      <c r="T47" s="703" t="str">
        <f t="shared" si="34"/>
        <v>A</v>
      </c>
      <c r="U47" s="703" t="str">
        <f t="shared" si="35"/>
        <v>A</v>
      </c>
      <c r="V47" s="703" t="str">
        <f t="shared" si="36"/>
        <v>A</v>
      </c>
      <c r="W47" s="703" t="str">
        <f t="shared" si="37"/>
        <v>A</v>
      </c>
      <c r="X47" s="703" t="str">
        <f t="shared" si="37"/>
        <v>A</v>
      </c>
      <c r="Y47" s="703" t="str">
        <f t="shared" si="38"/>
        <v>N</v>
      </c>
      <c r="Z47" s="703" t="str">
        <f t="shared" si="39"/>
        <v>A</v>
      </c>
      <c r="AA47" s="703" t="str">
        <f t="shared" si="40"/>
        <v>A</v>
      </c>
      <c r="AB47" s="703" t="str">
        <f t="shared" si="41"/>
        <v>N</v>
      </c>
      <c r="AC47" s="703" t="str">
        <f t="shared" si="41"/>
        <v>N</v>
      </c>
      <c r="AD47" s="804"/>
      <c r="AE47" s="804"/>
      <c r="AF47" s="791"/>
      <c r="AG47" s="798"/>
      <c r="AH47" s="950"/>
      <c r="AI47" s="732"/>
      <c r="AJ47" s="733"/>
    </row>
    <row r="48" spans="1:52" hidden="1" outlineLevel="1" x14ac:dyDescent="0.25">
      <c r="A48" s="159"/>
      <c r="B48" s="1359"/>
      <c r="C48" s="667" t="str">
        <f>'Optimalizačné opatrenia'!$B$12</f>
        <v>Integrácia</v>
      </c>
      <c r="D48" s="718" t="str">
        <f t="shared" si="29"/>
        <v>A</v>
      </c>
      <c r="E48" s="703" t="s">
        <v>530</v>
      </c>
      <c r="F48" s="703" t="s">
        <v>530</v>
      </c>
      <c r="G48" s="703" t="str">
        <f t="shared" si="30"/>
        <v>A</v>
      </c>
      <c r="H48" s="703"/>
      <c r="I48" s="703"/>
      <c r="J48" s="703"/>
      <c r="K48" s="703"/>
      <c r="L48" s="703"/>
      <c r="M48" s="703"/>
      <c r="N48" s="703" t="str">
        <f t="shared" si="31"/>
        <v>A</v>
      </c>
      <c r="O48" s="703"/>
      <c r="P48" s="703" t="str">
        <f t="shared" si="32"/>
        <v>A</v>
      </c>
      <c r="Q48" s="703" t="str">
        <f t="shared" si="32"/>
        <v>A</v>
      </c>
      <c r="R48" s="703" t="s">
        <v>529</v>
      </c>
      <c r="S48" s="703" t="str">
        <f t="shared" si="33"/>
        <v>A</v>
      </c>
      <c r="T48" s="703" t="str">
        <f t="shared" si="34"/>
        <v>A</v>
      </c>
      <c r="U48" s="703" t="str">
        <f t="shared" si="35"/>
        <v>A</v>
      </c>
      <c r="V48" s="703" t="str">
        <f t="shared" si="36"/>
        <v>A</v>
      </c>
      <c r="W48" s="703" t="str">
        <f t="shared" si="37"/>
        <v>A</v>
      </c>
      <c r="X48" s="703" t="str">
        <f t="shared" si="37"/>
        <v>A</v>
      </c>
      <c r="Y48" s="703" t="str">
        <f t="shared" si="38"/>
        <v>A</v>
      </c>
      <c r="Z48" s="703" t="str">
        <f t="shared" si="39"/>
        <v>A</v>
      </c>
      <c r="AA48" s="703" t="str">
        <f t="shared" si="40"/>
        <v>A</v>
      </c>
      <c r="AB48" s="703" t="str">
        <f t="shared" si="41"/>
        <v>A</v>
      </c>
      <c r="AC48" s="703" t="str">
        <f t="shared" si="41"/>
        <v>A</v>
      </c>
      <c r="AD48" s="804"/>
      <c r="AE48" s="804"/>
      <c r="AF48" s="791"/>
      <c r="AG48" s="798"/>
      <c r="AH48" s="950"/>
      <c r="AI48" s="732"/>
      <c r="AJ48" s="733"/>
    </row>
    <row r="49" spans="1:52" hidden="1" outlineLevel="1" x14ac:dyDescent="0.25">
      <c r="A49" s="159"/>
      <c r="B49" s="1359"/>
      <c r="C49" s="672" t="str">
        <f>'Optimalizačné opatrenia'!$B$13</f>
        <v>Proaktivita</v>
      </c>
      <c r="D49" s="718" t="str">
        <f t="shared" si="29"/>
        <v>N</v>
      </c>
      <c r="E49" s="703" t="s">
        <v>530</v>
      </c>
      <c r="F49" s="703" t="s">
        <v>530</v>
      </c>
      <c r="G49" s="703" t="str">
        <f t="shared" si="30"/>
        <v>N</v>
      </c>
      <c r="H49" s="703"/>
      <c r="I49" s="703"/>
      <c r="J49" s="703"/>
      <c r="K49" s="703"/>
      <c r="L49" s="703"/>
      <c r="M49" s="703"/>
      <c r="N49" s="703" t="str">
        <f t="shared" si="31"/>
        <v>N</v>
      </c>
      <c r="O49" s="703"/>
      <c r="P49" s="703" t="str">
        <f t="shared" si="32"/>
        <v>N</v>
      </c>
      <c r="Q49" s="703" t="str">
        <f t="shared" si="32"/>
        <v>N</v>
      </c>
      <c r="R49" s="703" t="s">
        <v>529</v>
      </c>
      <c r="S49" s="703" t="str">
        <f t="shared" si="33"/>
        <v>A</v>
      </c>
      <c r="T49" s="703" t="str">
        <f t="shared" si="34"/>
        <v>A</v>
      </c>
      <c r="U49" s="703" t="str">
        <f t="shared" si="35"/>
        <v>N</v>
      </c>
      <c r="V49" s="703" t="str">
        <f t="shared" si="36"/>
        <v>A</v>
      </c>
      <c r="W49" s="703" t="str">
        <f t="shared" si="37"/>
        <v>N</v>
      </c>
      <c r="X49" s="703" t="str">
        <f t="shared" si="37"/>
        <v>N</v>
      </c>
      <c r="Y49" s="703" t="str">
        <f t="shared" si="38"/>
        <v>A</v>
      </c>
      <c r="Z49" s="703" t="str">
        <f t="shared" si="39"/>
        <v>A</v>
      </c>
      <c r="AA49" s="703" t="str">
        <f t="shared" si="40"/>
        <v>A</v>
      </c>
      <c r="AB49" s="703" t="str">
        <f t="shared" si="41"/>
        <v>A</v>
      </c>
      <c r="AC49" s="703" t="str">
        <f t="shared" si="41"/>
        <v>A</v>
      </c>
      <c r="AD49" s="804"/>
      <c r="AE49" s="804"/>
      <c r="AF49" s="791"/>
      <c r="AG49" s="798"/>
      <c r="AH49" s="950"/>
      <c r="AI49" s="732"/>
      <c r="AJ49" s="733"/>
    </row>
    <row r="50" spans="1:52" hidden="1" outlineLevel="1" x14ac:dyDescent="0.25">
      <c r="A50" s="159"/>
      <c r="B50" s="720"/>
      <c r="C50" s="722" t="s">
        <v>538</v>
      </c>
      <c r="D50" s="723">
        <f t="shared" si="29"/>
        <v>0.3</v>
      </c>
      <c r="E50" s="721">
        <v>0</v>
      </c>
      <c r="F50" s="724">
        <v>0</v>
      </c>
      <c r="G50" s="724">
        <f t="shared" si="30"/>
        <v>0.3</v>
      </c>
      <c r="H50" s="724"/>
      <c r="I50" s="724"/>
      <c r="J50" s="724"/>
      <c r="K50" s="724"/>
      <c r="L50" s="724"/>
      <c r="M50" s="724"/>
      <c r="N50" s="724">
        <f t="shared" si="31"/>
        <v>0.3</v>
      </c>
      <c r="O50" s="724"/>
      <c r="P50" s="724">
        <f t="shared" si="32"/>
        <v>0.45</v>
      </c>
      <c r="Q50" s="724">
        <f t="shared" si="32"/>
        <v>0.3</v>
      </c>
      <c r="R50" s="724">
        <v>0.25</v>
      </c>
      <c r="S50" s="724">
        <f t="shared" si="33"/>
        <v>0.25</v>
      </c>
      <c r="T50" s="724">
        <f t="shared" si="34"/>
        <v>0.4</v>
      </c>
      <c r="U50" s="724">
        <f t="shared" si="35"/>
        <v>0.3</v>
      </c>
      <c r="V50" s="724">
        <f t="shared" si="36"/>
        <v>0.5</v>
      </c>
      <c r="W50" s="724">
        <f t="shared" si="37"/>
        <v>0.3</v>
      </c>
      <c r="X50" s="724">
        <f t="shared" si="37"/>
        <v>0.3</v>
      </c>
      <c r="Y50" s="724">
        <f t="shared" si="38"/>
        <v>0.25</v>
      </c>
      <c r="Z50" s="724">
        <f t="shared" si="39"/>
        <v>0.4</v>
      </c>
      <c r="AA50" s="724">
        <f t="shared" si="40"/>
        <v>0.5</v>
      </c>
      <c r="AB50" s="724">
        <f t="shared" si="41"/>
        <v>0.25</v>
      </c>
      <c r="AC50" s="724">
        <f t="shared" si="41"/>
        <v>0.25</v>
      </c>
      <c r="AD50" s="805"/>
      <c r="AE50" s="805"/>
      <c r="AF50" s="792"/>
      <c r="AG50" s="799"/>
      <c r="AH50" s="951"/>
      <c r="AI50" s="735"/>
      <c r="AJ50" s="736"/>
    </row>
    <row r="51" spans="1:52" ht="43.7" customHeight="1" collapsed="1" x14ac:dyDescent="0.25">
      <c r="A51" s="159">
        <f ca="1">OFFSET(A51,-14,0)+1</f>
        <v>4</v>
      </c>
      <c r="B51" s="234" t="str">
        <f ca="1">'Procesy - AS IS'!B16</f>
        <v>Meranie č. 4</v>
      </c>
      <c r="C51" s="650" t="str">
        <f>'Procesy - AS IS'!C16</f>
        <v>TANYA TRANS, s.r.o. Ľuda Zúbka, 901 01 Malacky , Mimoriadne zhoršenie vôd, 109/012/2018/NR</v>
      </c>
      <c r="D51" s="726">
        <f>-'Procesy - AS IS'!D18*D64</f>
        <v>0</v>
      </c>
      <c r="E51" s="653">
        <f>-'Procesy - AS IS'!E18*E64</f>
        <v>0</v>
      </c>
      <c r="F51" s="653">
        <f>-'Procesy - AS IS'!F18*F64</f>
        <v>0</v>
      </c>
      <c r="G51" s="653">
        <f>-'Procesy - AS IS'!G18*G64</f>
        <v>-3</v>
      </c>
      <c r="H51" s="653" t="s">
        <v>555</v>
      </c>
      <c r="I51" s="653" t="s">
        <v>555</v>
      </c>
      <c r="J51" s="653" t="s">
        <v>555</v>
      </c>
      <c r="K51" s="653" t="s">
        <v>555</v>
      </c>
      <c r="L51" s="653" t="s">
        <v>555</v>
      </c>
      <c r="M51" s="653" t="s">
        <v>555</v>
      </c>
      <c r="N51" s="653">
        <f>-'Procesy - AS IS'!N18*N64</f>
        <v>0</v>
      </c>
      <c r="O51" s="653" t="s">
        <v>559</v>
      </c>
      <c r="P51" s="653">
        <f>-'Procesy - AS IS'!P18*P64</f>
        <v>-1.8</v>
      </c>
      <c r="Q51" s="653">
        <f>-'Procesy - AS IS'!Q18*Q64</f>
        <v>0</v>
      </c>
      <c r="R51" s="653">
        <f>-'Procesy - AS IS'!R18*R64</f>
        <v>-8.1361256544502609</v>
      </c>
      <c r="S51" s="653">
        <f>-'Procesy - AS IS'!S18*S64</f>
        <v>-5.8638743455497382</v>
      </c>
      <c r="T51" s="653">
        <f>-'Procesy - AS IS'!T18*T64</f>
        <v>-1.8596858638743456</v>
      </c>
      <c r="U51" s="653">
        <f>-'Procesy - AS IS'!U18*U64</f>
        <v>-1.0052356020942408</v>
      </c>
      <c r="V51" s="653">
        <f>-'Procesy - AS IS'!V18*V64</f>
        <v>-4</v>
      </c>
      <c r="W51" s="653">
        <f>-'Procesy - AS IS'!W18*W64</f>
        <v>-0.49005235602094238</v>
      </c>
      <c r="X51" s="653">
        <f>-'Procesy - AS IS'!X18*X64</f>
        <v>0</v>
      </c>
      <c r="Y51" s="653">
        <f>-'Procesy - AS IS'!Y18*Y64</f>
        <v>-2.4502617801047117</v>
      </c>
      <c r="Z51" s="653">
        <f>-'Procesy - AS IS'!Z18*Z64</f>
        <v>0</v>
      </c>
      <c r="AA51" s="653">
        <f>-'Procesy - AS IS'!AA18*AA64</f>
        <v>0</v>
      </c>
      <c r="AB51" s="653">
        <f>-'Procesy - AS IS'!AB18*AB64</f>
        <v>0</v>
      </c>
      <c r="AC51" s="653">
        <f>-'Procesy - AS IS'!AC18*AC64</f>
        <v>0</v>
      </c>
      <c r="AD51" s="754"/>
      <c r="AE51" s="754">
        <f>SUM(D51:AC51)</f>
        <v>-28.605235602094243</v>
      </c>
      <c r="AF51" s="728">
        <f>AE51/'Procesy - AS IS'!AD18</f>
        <v>-0.29358409457281037</v>
      </c>
      <c r="AG51" s="797">
        <f>('Procesy - AS IS'!AG15/(1+$AF51)-'Procesy - AS IS'!AG15)/2</f>
        <v>39.689481531065525</v>
      </c>
      <c r="AH51" s="949">
        <f>('Procesy - AS IS'!AH15/(1+$AF51)-'Procesy - AS IS'!AH15)/2</f>
        <v>23.065614921195163</v>
      </c>
      <c r="AI51" s="730">
        <f>('Procesy - AS IS'!AI15/(1+$AF51)-'Procesy - AS IS'!AI15)/2</f>
        <v>16.208269944623623</v>
      </c>
      <c r="AJ51" s="731">
        <f>('Procesy - AS IS'!AJ15/(1+$AF51)-'Procesy - AS IS'!AJ15)/2</f>
        <v>0</v>
      </c>
      <c r="AL51" s="232"/>
      <c r="AZ51" s="227"/>
    </row>
    <row r="52" spans="1:52" hidden="1" outlineLevel="1" x14ac:dyDescent="0.25">
      <c r="A52" s="159"/>
      <c r="B52" s="1358" t="s">
        <v>528</v>
      </c>
      <c r="C52" s="667" t="str">
        <f>'Optimalizačné opatrenia'!$B$2</f>
        <v>Modernizácia</v>
      </c>
      <c r="D52" s="703" t="str">
        <f t="shared" ref="D52:G64" si="42">D38</f>
        <v>A</v>
      </c>
      <c r="E52" s="674" t="str">
        <f t="shared" si="42"/>
        <v>N</v>
      </c>
      <c r="F52" s="703" t="str">
        <f t="shared" si="42"/>
        <v>N</v>
      </c>
      <c r="G52" s="703" t="str">
        <f t="shared" si="42"/>
        <v>A</v>
      </c>
      <c r="H52" s="703"/>
      <c r="I52" s="703"/>
      <c r="J52" s="703"/>
      <c r="K52" s="703"/>
      <c r="L52" s="703"/>
      <c r="M52" s="703"/>
      <c r="N52" s="703" t="str">
        <f t="shared" ref="N52" si="43">N38</f>
        <v>A</v>
      </c>
      <c r="O52" s="703"/>
      <c r="P52" s="703" t="str">
        <f t="shared" ref="P52:AC52" si="44">P38</f>
        <v>A</v>
      </c>
      <c r="Q52" s="703" t="str">
        <f t="shared" si="44"/>
        <v>A</v>
      </c>
      <c r="R52" s="703" t="str">
        <f t="shared" si="44"/>
        <v>A</v>
      </c>
      <c r="S52" s="703" t="str">
        <f t="shared" si="44"/>
        <v>A</v>
      </c>
      <c r="T52" s="703" t="str">
        <f t="shared" si="44"/>
        <v>A</v>
      </c>
      <c r="U52" s="703" t="str">
        <f t="shared" si="44"/>
        <v>A</v>
      </c>
      <c r="V52" s="703" t="str">
        <f t="shared" si="44"/>
        <v>A</v>
      </c>
      <c r="W52" s="703" t="str">
        <f t="shared" si="44"/>
        <v>A</v>
      </c>
      <c r="X52" s="703" t="str">
        <f t="shared" si="44"/>
        <v>A</v>
      </c>
      <c r="Y52" s="703" t="str">
        <f t="shared" si="44"/>
        <v>A</v>
      </c>
      <c r="Z52" s="703" t="str">
        <f t="shared" si="44"/>
        <v>A</v>
      </c>
      <c r="AA52" s="703" t="str">
        <f t="shared" si="44"/>
        <v>A</v>
      </c>
      <c r="AB52" s="703" t="str">
        <f t="shared" si="44"/>
        <v>A</v>
      </c>
      <c r="AC52" s="703" t="str">
        <f t="shared" si="44"/>
        <v>A</v>
      </c>
      <c r="AD52" s="804"/>
      <c r="AE52" s="804"/>
      <c r="AF52" s="791"/>
      <c r="AG52" s="798"/>
      <c r="AH52" s="950"/>
      <c r="AI52" s="732"/>
      <c r="AJ52" s="733"/>
    </row>
    <row r="53" spans="1:52" hidden="1" outlineLevel="1" x14ac:dyDescent="0.25">
      <c r="A53" s="159"/>
      <c r="B53" s="1359"/>
      <c r="C53" s="667" t="str">
        <f>'Optimalizačné opatrenia'!$B$3</f>
        <v>Sfunkčnenie</v>
      </c>
      <c r="D53" s="718" t="str">
        <f t="shared" si="42"/>
        <v>N</v>
      </c>
      <c r="E53" s="703" t="str">
        <f t="shared" si="42"/>
        <v>N</v>
      </c>
      <c r="F53" s="703" t="str">
        <f t="shared" si="42"/>
        <v>N</v>
      </c>
      <c r="G53" s="703" t="str">
        <f t="shared" si="42"/>
        <v>N</v>
      </c>
      <c r="H53" s="703"/>
      <c r="I53" s="703"/>
      <c r="J53" s="703"/>
      <c r="K53" s="703"/>
      <c r="L53" s="703"/>
      <c r="M53" s="703"/>
      <c r="N53" s="703" t="str">
        <f t="shared" ref="N53" si="45">N39</f>
        <v>N</v>
      </c>
      <c r="O53" s="703"/>
      <c r="P53" s="703" t="str">
        <f t="shared" ref="P53:AC53" si="46">P39</f>
        <v>N</v>
      </c>
      <c r="Q53" s="703" t="str">
        <f t="shared" si="46"/>
        <v>N</v>
      </c>
      <c r="R53" s="703" t="str">
        <f t="shared" si="46"/>
        <v>N</v>
      </c>
      <c r="S53" s="703" t="str">
        <f t="shared" si="46"/>
        <v>N</v>
      </c>
      <c r="T53" s="703" t="str">
        <f t="shared" si="46"/>
        <v>N</v>
      </c>
      <c r="U53" s="703" t="str">
        <f t="shared" si="46"/>
        <v>N</v>
      </c>
      <c r="V53" s="703" t="str">
        <f t="shared" si="46"/>
        <v>N</v>
      </c>
      <c r="W53" s="703" t="str">
        <f t="shared" si="46"/>
        <v>N</v>
      </c>
      <c r="X53" s="703" t="str">
        <f t="shared" si="46"/>
        <v>N</v>
      </c>
      <c r="Y53" s="703" t="str">
        <f t="shared" si="46"/>
        <v>N</v>
      </c>
      <c r="Z53" s="703" t="str">
        <f t="shared" si="46"/>
        <v>N</v>
      </c>
      <c r="AA53" s="703" t="str">
        <f t="shared" si="46"/>
        <v>N</v>
      </c>
      <c r="AB53" s="703" t="str">
        <f t="shared" si="46"/>
        <v>N</v>
      </c>
      <c r="AC53" s="703" t="str">
        <f t="shared" si="46"/>
        <v>N</v>
      </c>
      <c r="AD53" s="804"/>
      <c r="AE53" s="804"/>
      <c r="AF53" s="791"/>
      <c r="AG53" s="798"/>
      <c r="AH53" s="950"/>
      <c r="AI53" s="732"/>
      <c r="AJ53" s="733"/>
    </row>
    <row r="54" spans="1:52" hidden="1" outlineLevel="1" x14ac:dyDescent="0.25">
      <c r="A54" s="159"/>
      <c r="B54" s="1359"/>
      <c r="C54" s="667" t="str">
        <f>'Optimalizačné opatrenia'!$B$4</f>
        <v>Zjednotenie</v>
      </c>
      <c r="D54" s="718" t="str">
        <f t="shared" si="42"/>
        <v>A</v>
      </c>
      <c r="E54" s="703" t="str">
        <f t="shared" si="42"/>
        <v>N</v>
      </c>
      <c r="F54" s="703" t="str">
        <f t="shared" si="42"/>
        <v>N</v>
      </c>
      <c r="G54" s="703" t="str">
        <f t="shared" si="42"/>
        <v>A</v>
      </c>
      <c r="H54" s="703"/>
      <c r="I54" s="703"/>
      <c r="J54" s="703"/>
      <c r="K54" s="703"/>
      <c r="L54" s="703"/>
      <c r="M54" s="703"/>
      <c r="N54" s="703" t="str">
        <f t="shared" ref="N54" si="47">N40</f>
        <v>A</v>
      </c>
      <c r="O54" s="703"/>
      <c r="P54" s="703" t="str">
        <f t="shared" ref="P54:AC54" si="48">P40</f>
        <v>A</v>
      </c>
      <c r="Q54" s="703" t="str">
        <f t="shared" si="48"/>
        <v>A</v>
      </c>
      <c r="R54" s="703" t="str">
        <f t="shared" si="48"/>
        <v>A</v>
      </c>
      <c r="S54" s="703" t="str">
        <f t="shared" si="48"/>
        <v>A</v>
      </c>
      <c r="T54" s="703" t="str">
        <f t="shared" si="48"/>
        <v>A</v>
      </c>
      <c r="U54" s="703" t="str">
        <f t="shared" si="48"/>
        <v>A</v>
      </c>
      <c r="V54" s="703" t="str">
        <f t="shared" si="48"/>
        <v>A</v>
      </c>
      <c r="W54" s="703" t="str">
        <f t="shared" si="48"/>
        <v>A</v>
      </c>
      <c r="X54" s="703" t="str">
        <f t="shared" si="48"/>
        <v>A</v>
      </c>
      <c r="Y54" s="703" t="str">
        <f t="shared" si="48"/>
        <v>A</v>
      </c>
      <c r="Z54" s="703" t="str">
        <f t="shared" si="48"/>
        <v>A</v>
      </c>
      <c r="AA54" s="703" t="str">
        <f t="shared" si="48"/>
        <v>A</v>
      </c>
      <c r="AB54" s="703" t="str">
        <f t="shared" si="48"/>
        <v>A</v>
      </c>
      <c r="AC54" s="703" t="str">
        <f t="shared" si="48"/>
        <v>A</v>
      </c>
      <c r="AD54" s="804"/>
      <c r="AE54" s="804"/>
      <c r="AF54" s="791"/>
      <c r="AG54" s="798"/>
      <c r="AH54" s="950"/>
      <c r="AI54" s="732"/>
      <c r="AJ54" s="733"/>
    </row>
    <row r="55" spans="1:52" hidden="1" outlineLevel="1" x14ac:dyDescent="0.25">
      <c r="A55" s="159"/>
      <c r="B55" s="1359"/>
      <c r="C55" s="667" t="str">
        <f>'Optimalizačné opatrenia'!$B$5</f>
        <v>Centralizácia</v>
      </c>
      <c r="D55" s="718" t="str">
        <f t="shared" si="42"/>
        <v>A</v>
      </c>
      <c r="E55" s="703" t="str">
        <f t="shared" si="42"/>
        <v>N</v>
      </c>
      <c r="F55" s="703" t="str">
        <f t="shared" si="42"/>
        <v>N</v>
      </c>
      <c r="G55" s="703" t="str">
        <f t="shared" si="42"/>
        <v>A</v>
      </c>
      <c r="H55" s="703"/>
      <c r="I55" s="703"/>
      <c r="J55" s="703"/>
      <c r="K55" s="703"/>
      <c r="L55" s="703"/>
      <c r="M55" s="703"/>
      <c r="N55" s="703" t="str">
        <f t="shared" ref="N55" si="49">N41</f>
        <v>A</v>
      </c>
      <c r="O55" s="703"/>
      <c r="P55" s="703" t="str">
        <f t="shared" ref="P55:AC55" si="50">P41</f>
        <v>A</v>
      </c>
      <c r="Q55" s="703" t="str">
        <f t="shared" si="50"/>
        <v>A</v>
      </c>
      <c r="R55" s="703" t="str">
        <f t="shared" si="50"/>
        <v>A</v>
      </c>
      <c r="S55" s="703" t="str">
        <f t="shared" si="50"/>
        <v>A</v>
      </c>
      <c r="T55" s="703" t="str">
        <f t="shared" si="50"/>
        <v>A</v>
      </c>
      <c r="U55" s="703" t="str">
        <f t="shared" si="50"/>
        <v>A</v>
      </c>
      <c r="V55" s="703" t="str">
        <f t="shared" si="50"/>
        <v>A</v>
      </c>
      <c r="W55" s="703" t="str">
        <f t="shared" si="50"/>
        <v>A</v>
      </c>
      <c r="X55" s="703" t="str">
        <f t="shared" si="50"/>
        <v>A</v>
      </c>
      <c r="Y55" s="703" t="str">
        <f t="shared" si="50"/>
        <v>A</v>
      </c>
      <c r="Z55" s="703" t="str">
        <f t="shared" si="50"/>
        <v>A</v>
      </c>
      <c r="AA55" s="703" t="str">
        <f t="shared" si="50"/>
        <v>A</v>
      </c>
      <c r="AB55" s="703" t="str">
        <f t="shared" si="50"/>
        <v>A</v>
      </c>
      <c r="AC55" s="703" t="str">
        <f t="shared" si="50"/>
        <v>A</v>
      </c>
      <c r="AD55" s="804"/>
      <c r="AE55" s="804"/>
      <c r="AF55" s="791"/>
      <c r="AG55" s="798"/>
      <c r="AH55" s="950"/>
      <c r="AI55" s="732"/>
      <c r="AJ55" s="733"/>
    </row>
    <row r="56" spans="1:52" hidden="1" outlineLevel="1" x14ac:dyDescent="0.25">
      <c r="A56" s="159"/>
      <c r="B56" s="1359"/>
      <c r="C56" s="667" t="str">
        <f>'Optimalizačné opatrenia'!$B$6</f>
        <v>Elektronizácia</v>
      </c>
      <c r="D56" s="718" t="str">
        <f t="shared" si="42"/>
        <v>A</v>
      </c>
      <c r="E56" s="703" t="str">
        <f t="shared" si="42"/>
        <v>N</v>
      </c>
      <c r="F56" s="703" t="str">
        <f t="shared" si="42"/>
        <v>N</v>
      </c>
      <c r="G56" s="703" t="str">
        <f t="shared" si="42"/>
        <v>A</v>
      </c>
      <c r="H56" s="703"/>
      <c r="I56" s="703"/>
      <c r="J56" s="703"/>
      <c r="K56" s="703"/>
      <c r="L56" s="703"/>
      <c r="M56" s="703"/>
      <c r="N56" s="703" t="str">
        <f t="shared" ref="N56" si="51">N42</f>
        <v>A</v>
      </c>
      <c r="O56" s="703"/>
      <c r="P56" s="703" t="str">
        <f t="shared" ref="P56:AC56" si="52">P42</f>
        <v>A</v>
      </c>
      <c r="Q56" s="703" t="str">
        <f t="shared" si="52"/>
        <v>A</v>
      </c>
      <c r="R56" s="703" t="str">
        <f t="shared" si="52"/>
        <v>A</v>
      </c>
      <c r="S56" s="703" t="str">
        <f t="shared" si="52"/>
        <v>A</v>
      </c>
      <c r="T56" s="703" t="str">
        <f t="shared" si="52"/>
        <v>A</v>
      </c>
      <c r="U56" s="703" t="str">
        <f t="shared" si="52"/>
        <v>A</v>
      </c>
      <c r="V56" s="703" t="str">
        <f t="shared" si="52"/>
        <v>A</v>
      </c>
      <c r="W56" s="703" t="str">
        <f t="shared" si="52"/>
        <v>A</v>
      </c>
      <c r="X56" s="703" t="str">
        <f t="shared" si="52"/>
        <v>A</v>
      </c>
      <c r="Y56" s="703" t="str">
        <f t="shared" si="52"/>
        <v>A</v>
      </c>
      <c r="Z56" s="703" t="str">
        <f t="shared" si="52"/>
        <v>A</v>
      </c>
      <c r="AA56" s="703" t="str">
        <f t="shared" si="52"/>
        <v>A</v>
      </c>
      <c r="AB56" s="703" t="str">
        <f t="shared" si="52"/>
        <v>A</v>
      </c>
      <c r="AC56" s="703" t="str">
        <f t="shared" si="52"/>
        <v>A</v>
      </c>
      <c r="AD56" s="804"/>
      <c r="AE56" s="804"/>
      <c r="AF56" s="791"/>
      <c r="AG56" s="798"/>
      <c r="AH56" s="950"/>
      <c r="AI56" s="732"/>
      <c r="AJ56" s="733"/>
    </row>
    <row r="57" spans="1:52" hidden="1" outlineLevel="1" x14ac:dyDescent="0.25">
      <c r="A57" s="159"/>
      <c r="B57" s="1359"/>
      <c r="C57" s="667" t="str">
        <f>'Optimalizačné opatrenia'!$B$7</f>
        <v>Automatizácia</v>
      </c>
      <c r="D57" s="718" t="str">
        <f t="shared" si="42"/>
        <v>A</v>
      </c>
      <c r="E57" s="703" t="str">
        <f t="shared" si="42"/>
        <v>N</v>
      </c>
      <c r="F57" s="703" t="str">
        <f t="shared" si="42"/>
        <v>N</v>
      </c>
      <c r="G57" s="703" t="str">
        <f t="shared" si="42"/>
        <v>A</v>
      </c>
      <c r="H57" s="703"/>
      <c r="I57" s="703"/>
      <c r="J57" s="703"/>
      <c r="K57" s="703"/>
      <c r="L57" s="703"/>
      <c r="M57" s="703"/>
      <c r="N57" s="703" t="str">
        <f t="shared" ref="N57" si="53">N43</f>
        <v>A</v>
      </c>
      <c r="O57" s="703"/>
      <c r="P57" s="703" t="str">
        <f t="shared" ref="P57:AC57" si="54">P43</f>
        <v>A</v>
      </c>
      <c r="Q57" s="703" t="str">
        <f t="shared" si="54"/>
        <v>A</v>
      </c>
      <c r="R57" s="703" t="str">
        <f t="shared" si="54"/>
        <v>A</v>
      </c>
      <c r="S57" s="703" t="str">
        <f t="shared" si="54"/>
        <v>A</v>
      </c>
      <c r="T57" s="703" t="str">
        <f t="shared" si="54"/>
        <v>A</v>
      </c>
      <c r="U57" s="703" t="str">
        <f t="shared" si="54"/>
        <v>A</v>
      </c>
      <c r="V57" s="703" t="str">
        <f t="shared" si="54"/>
        <v>A</v>
      </c>
      <c r="W57" s="703" t="str">
        <f t="shared" si="54"/>
        <v>A</v>
      </c>
      <c r="X57" s="703" t="str">
        <f t="shared" si="54"/>
        <v>A</v>
      </c>
      <c r="Y57" s="703" t="str">
        <f t="shared" si="54"/>
        <v>A</v>
      </c>
      <c r="Z57" s="703" t="str">
        <f t="shared" si="54"/>
        <v>A</v>
      </c>
      <c r="AA57" s="703" t="str">
        <f t="shared" si="54"/>
        <v>A</v>
      </c>
      <c r="AB57" s="703" t="str">
        <f t="shared" si="54"/>
        <v>A</v>
      </c>
      <c r="AC57" s="703" t="str">
        <f t="shared" si="54"/>
        <v>A</v>
      </c>
      <c r="AD57" s="804"/>
      <c r="AE57" s="804"/>
      <c r="AF57" s="791"/>
      <c r="AG57" s="798"/>
      <c r="AH57" s="950"/>
      <c r="AI57" s="732"/>
      <c r="AJ57" s="733"/>
    </row>
    <row r="58" spans="1:52" hidden="1" outlineLevel="1" x14ac:dyDescent="0.25">
      <c r="A58" s="159"/>
      <c r="B58" s="1359"/>
      <c r="C58" s="667" t="str">
        <f>'Optimalizačné opatrenia'!$B$8</f>
        <v>Bezpečnosť</v>
      </c>
      <c r="D58" s="718" t="str">
        <f t="shared" si="42"/>
        <v>A</v>
      </c>
      <c r="E58" s="703" t="str">
        <f t="shared" si="42"/>
        <v>N</v>
      </c>
      <c r="F58" s="703" t="str">
        <f t="shared" si="42"/>
        <v>N</v>
      </c>
      <c r="G58" s="703" t="str">
        <f t="shared" si="42"/>
        <v>A</v>
      </c>
      <c r="H58" s="703"/>
      <c r="I58" s="703"/>
      <c r="J58" s="703"/>
      <c r="K58" s="703"/>
      <c r="L58" s="703"/>
      <c r="M58" s="703"/>
      <c r="N58" s="703" t="str">
        <f t="shared" ref="N58" si="55">N44</f>
        <v>A</v>
      </c>
      <c r="O58" s="703"/>
      <c r="P58" s="703" t="str">
        <f t="shared" ref="P58:AC58" si="56">P44</f>
        <v>A</v>
      </c>
      <c r="Q58" s="703" t="str">
        <f t="shared" si="56"/>
        <v>A</v>
      </c>
      <c r="R58" s="703" t="str">
        <f t="shared" si="56"/>
        <v>A</v>
      </c>
      <c r="S58" s="703" t="str">
        <f t="shared" si="56"/>
        <v>A</v>
      </c>
      <c r="T58" s="703" t="str">
        <f t="shared" si="56"/>
        <v>A</v>
      </c>
      <c r="U58" s="703" t="str">
        <f t="shared" si="56"/>
        <v>A</v>
      </c>
      <c r="V58" s="703" t="str">
        <f t="shared" si="56"/>
        <v>A</v>
      </c>
      <c r="W58" s="703" t="str">
        <f t="shared" si="56"/>
        <v>A</v>
      </c>
      <c r="X58" s="703" t="str">
        <f t="shared" si="56"/>
        <v>A</v>
      </c>
      <c r="Y58" s="703" t="str">
        <f t="shared" si="56"/>
        <v>A</v>
      </c>
      <c r="Z58" s="703" t="str">
        <f t="shared" si="56"/>
        <v>A</v>
      </c>
      <c r="AA58" s="703" t="str">
        <f t="shared" si="56"/>
        <v>A</v>
      </c>
      <c r="AB58" s="703" t="str">
        <f t="shared" si="56"/>
        <v>A</v>
      </c>
      <c r="AC58" s="703" t="str">
        <f t="shared" si="56"/>
        <v>A</v>
      </c>
      <c r="AD58" s="804"/>
      <c r="AE58" s="804"/>
      <c r="AF58" s="791"/>
      <c r="AG58" s="798"/>
      <c r="AH58" s="950"/>
      <c r="AI58" s="732"/>
      <c r="AJ58" s="733"/>
    </row>
    <row r="59" spans="1:52" hidden="1" outlineLevel="1" x14ac:dyDescent="0.25">
      <c r="A59" s="159"/>
      <c r="B59" s="1359"/>
      <c r="C59" s="667" t="str">
        <f>'Optimalizačné opatrenia'!$B$9</f>
        <v>Auditovateľnosť</v>
      </c>
      <c r="D59" s="718" t="str">
        <f t="shared" si="42"/>
        <v>A</v>
      </c>
      <c r="E59" s="703" t="str">
        <f t="shared" si="42"/>
        <v>N</v>
      </c>
      <c r="F59" s="703" t="str">
        <f t="shared" si="42"/>
        <v>N</v>
      </c>
      <c r="G59" s="703" t="str">
        <f t="shared" si="42"/>
        <v>A</v>
      </c>
      <c r="H59" s="703"/>
      <c r="I59" s="703"/>
      <c r="J59" s="703"/>
      <c r="K59" s="703"/>
      <c r="L59" s="703"/>
      <c r="M59" s="703"/>
      <c r="N59" s="703" t="str">
        <f t="shared" ref="N59" si="57">N45</f>
        <v>A</v>
      </c>
      <c r="O59" s="703"/>
      <c r="P59" s="703" t="str">
        <f t="shared" ref="P59:AC59" si="58">P45</f>
        <v>A</v>
      </c>
      <c r="Q59" s="703" t="str">
        <f t="shared" si="58"/>
        <v>A</v>
      </c>
      <c r="R59" s="703" t="str">
        <f t="shared" si="58"/>
        <v>N</v>
      </c>
      <c r="S59" s="703" t="str">
        <f t="shared" si="58"/>
        <v>N</v>
      </c>
      <c r="T59" s="703" t="str">
        <f t="shared" si="58"/>
        <v>A</v>
      </c>
      <c r="U59" s="703" t="str">
        <f t="shared" si="58"/>
        <v>A</v>
      </c>
      <c r="V59" s="703" t="str">
        <f t="shared" si="58"/>
        <v>A</v>
      </c>
      <c r="W59" s="703" t="str">
        <f t="shared" si="58"/>
        <v>A</v>
      </c>
      <c r="X59" s="703" t="str">
        <f t="shared" si="58"/>
        <v>A</v>
      </c>
      <c r="Y59" s="703" t="str">
        <f t="shared" si="58"/>
        <v>N</v>
      </c>
      <c r="Z59" s="703" t="str">
        <f t="shared" si="58"/>
        <v>A</v>
      </c>
      <c r="AA59" s="703" t="str">
        <f t="shared" si="58"/>
        <v>A</v>
      </c>
      <c r="AB59" s="703" t="str">
        <f t="shared" si="58"/>
        <v>N</v>
      </c>
      <c r="AC59" s="703" t="str">
        <f t="shared" si="58"/>
        <v>N</v>
      </c>
      <c r="AD59" s="804"/>
      <c r="AE59" s="804"/>
      <c r="AF59" s="791"/>
      <c r="AG59" s="798"/>
      <c r="AH59" s="950"/>
      <c r="AI59" s="732"/>
      <c r="AJ59" s="733"/>
    </row>
    <row r="60" spans="1:52" hidden="1" outlineLevel="1" x14ac:dyDescent="0.25">
      <c r="A60" s="159"/>
      <c r="B60" s="1359"/>
      <c r="C60" s="667" t="str">
        <f>'Optimalizačné opatrenia'!$B$10</f>
        <v>Transparentnosť</v>
      </c>
      <c r="D60" s="718" t="str">
        <f t="shared" si="42"/>
        <v>N</v>
      </c>
      <c r="E60" s="703" t="str">
        <f t="shared" si="42"/>
        <v>N</v>
      </c>
      <c r="F60" s="703" t="str">
        <f t="shared" si="42"/>
        <v>N</v>
      </c>
      <c r="G60" s="703" t="str">
        <f t="shared" si="42"/>
        <v>N</v>
      </c>
      <c r="H60" s="703"/>
      <c r="I60" s="703"/>
      <c r="J60" s="703"/>
      <c r="K60" s="703"/>
      <c r="L60" s="703"/>
      <c r="M60" s="703"/>
      <c r="N60" s="703" t="str">
        <f t="shared" ref="N60" si="59">N46</f>
        <v>N</v>
      </c>
      <c r="O60" s="703"/>
      <c r="P60" s="703" t="str">
        <f t="shared" ref="P60:AC60" si="60">P46</f>
        <v>A</v>
      </c>
      <c r="Q60" s="703" t="str">
        <f t="shared" si="60"/>
        <v>N</v>
      </c>
      <c r="R60" s="703" t="str">
        <f t="shared" si="60"/>
        <v>N</v>
      </c>
      <c r="S60" s="703" t="str">
        <f t="shared" si="60"/>
        <v>N</v>
      </c>
      <c r="T60" s="703" t="str">
        <f t="shared" si="60"/>
        <v>N</v>
      </c>
      <c r="U60" s="703" t="str">
        <f t="shared" si="60"/>
        <v>N</v>
      </c>
      <c r="V60" s="703" t="str">
        <f t="shared" si="60"/>
        <v>A</v>
      </c>
      <c r="W60" s="703" t="str">
        <f t="shared" si="60"/>
        <v>N</v>
      </c>
      <c r="X60" s="703" t="str">
        <f t="shared" si="60"/>
        <v>N</v>
      </c>
      <c r="Y60" s="703" t="str">
        <f t="shared" si="60"/>
        <v>N</v>
      </c>
      <c r="Z60" s="703" t="str">
        <f t="shared" si="60"/>
        <v>N</v>
      </c>
      <c r="AA60" s="703" t="str">
        <f t="shared" si="60"/>
        <v>A</v>
      </c>
      <c r="AB60" s="703" t="str">
        <f t="shared" si="60"/>
        <v>N</v>
      </c>
      <c r="AC60" s="703" t="str">
        <f t="shared" si="60"/>
        <v>N</v>
      </c>
      <c r="AD60" s="804"/>
      <c r="AE60" s="804"/>
      <c r="AF60" s="791"/>
      <c r="AG60" s="798"/>
      <c r="AH60" s="950"/>
      <c r="AI60" s="732"/>
      <c r="AJ60" s="733"/>
    </row>
    <row r="61" spans="1:52" hidden="1" outlineLevel="1" x14ac:dyDescent="0.25">
      <c r="A61" s="159"/>
      <c r="B61" s="1359"/>
      <c r="C61" s="667" t="str">
        <f>'Optimalizačné opatrenia'!$B$11</f>
        <v>Analyzovatelnosť</v>
      </c>
      <c r="D61" s="718" t="str">
        <f t="shared" si="42"/>
        <v>A</v>
      </c>
      <c r="E61" s="703" t="str">
        <f t="shared" si="42"/>
        <v>N</v>
      </c>
      <c r="F61" s="703" t="str">
        <f t="shared" si="42"/>
        <v>N</v>
      </c>
      <c r="G61" s="703" t="str">
        <f t="shared" si="42"/>
        <v>A</v>
      </c>
      <c r="H61" s="703"/>
      <c r="I61" s="703"/>
      <c r="J61" s="703"/>
      <c r="K61" s="703"/>
      <c r="L61" s="703"/>
      <c r="M61" s="703"/>
      <c r="N61" s="703" t="str">
        <f t="shared" ref="N61" si="61">N47</f>
        <v>A</v>
      </c>
      <c r="O61" s="703"/>
      <c r="P61" s="703" t="str">
        <f t="shared" ref="P61:AC61" si="62">P47</f>
        <v>A</v>
      </c>
      <c r="Q61" s="703" t="str">
        <f t="shared" si="62"/>
        <v>A</v>
      </c>
      <c r="R61" s="703" t="str">
        <f t="shared" si="62"/>
        <v>N</v>
      </c>
      <c r="S61" s="703" t="str">
        <f t="shared" si="62"/>
        <v>N</v>
      </c>
      <c r="T61" s="703" t="str">
        <f t="shared" si="62"/>
        <v>A</v>
      </c>
      <c r="U61" s="703" t="str">
        <f t="shared" si="62"/>
        <v>A</v>
      </c>
      <c r="V61" s="703" t="str">
        <f t="shared" si="62"/>
        <v>A</v>
      </c>
      <c r="W61" s="703" t="str">
        <f t="shared" si="62"/>
        <v>A</v>
      </c>
      <c r="X61" s="703" t="str">
        <f t="shared" si="62"/>
        <v>A</v>
      </c>
      <c r="Y61" s="703" t="str">
        <f t="shared" si="62"/>
        <v>N</v>
      </c>
      <c r="Z61" s="703" t="str">
        <f t="shared" si="62"/>
        <v>A</v>
      </c>
      <c r="AA61" s="703" t="str">
        <f t="shared" si="62"/>
        <v>A</v>
      </c>
      <c r="AB61" s="703" t="str">
        <f t="shared" si="62"/>
        <v>N</v>
      </c>
      <c r="AC61" s="703" t="str">
        <f t="shared" si="62"/>
        <v>N</v>
      </c>
      <c r="AD61" s="804"/>
      <c r="AE61" s="804"/>
      <c r="AF61" s="791"/>
      <c r="AG61" s="798"/>
      <c r="AH61" s="950"/>
      <c r="AI61" s="732"/>
      <c r="AJ61" s="733"/>
    </row>
    <row r="62" spans="1:52" hidden="1" outlineLevel="1" x14ac:dyDescent="0.25">
      <c r="A62" s="159"/>
      <c r="B62" s="1359"/>
      <c r="C62" s="667" t="str">
        <f>'Optimalizačné opatrenia'!$B$12</f>
        <v>Integrácia</v>
      </c>
      <c r="D62" s="718" t="str">
        <f t="shared" si="42"/>
        <v>A</v>
      </c>
      <c r="E62" s="703" t="str">
        <f t="shared" si="42"/>
        <v>N</v>
      </c>
      <c r="F62" s="703" t="str">
        <f t="shared" si="42"/>
        <v>N</v>
      </c>
      <c r="G62" s="703" t="str">
        <f t="shared" si="42"/>
        <v>A</v>
      </c>
      <c r="H62" s="703"/>
      <c r="I62" s="703"/>
      <c r="J62" s="703"/>
      <c r="K62" s="703"/>
      <c r="L62" s="703"/>
      <c r="M62" s="703"/>
      <c r="N62" s="703" t="str">
        <f t="shared" ref="N62" si="63">N48</f>
        <v>A</v>
      </c>
      <c r="O62" s="703"/>
      <c r="P62" s="703" t="str">
        <f t="shared" ref="P62:AC62" si="64">P48</f>
        <v>A</v>
      </c>
      <c r="Q62" s="703" t="str">
        <f t="shared" si="64"/>
        <v>A</v>
      </c>
      <c r="R62" s="703" t="str">
        <f t="shared" si="64"/>
        <v>A</v>
      </c>
      <c r="S62" s="703" t="str">
        <f t="shared" si="64"/>
        <v>A</v>
      </c>
      <c r="T62" s="703" t="str">
        <f t="shared" si="64"/>
        <v>A</v>
      </c>
      <c r="U62" s="703" t="str">
        <f t="shared" si="64"/>
        <v>A</v>
      </c>
      <c r="V62" s="703" t="str">
        <f t="shared" si="64"/>
        <v>A</v>
      </c>
      <c r="W62" s="703" t="str">
        <f t="shared" si="64"/>
        <v>A</v>
      </c>
      <c r="X62" s="703" t="str">
        <f t="shared" si="64"/>
        <v>A</v>
      </c>
      <c r="Y62" s="703" t="str">
        <f t="shared" si="64"/>
        <v>A</v>
      </c>
      <c r="Z62" s="703" t="str">
        <f t="shared" si="64"/>
        <v>A</v>
      </c>
      <c r="AA62" s="703" t="str">
        <f t="shared" si="64"/>
        <v>A</v>
      </c>
      <c r="AB62" s="703" t="str">
        <f t="shared" si="64"/>
        <v>A</v>
      </c>
      <c r="AC62" s="703" t="str">
        <f t="shared" si="64"/>
        <v>A</v>
      </c>
      <c r="AD62" s="804"/>
      <c r="AE62" s="804"/>
      <c r="AF62" s="791"/>
      <c r="AG62" s="798"/>
      <c r="AH62" s="950"/>
      <c r="AI62" s="732"/>
      <c r="AJ62" s="733"/>
    </row>
    <row r="63" spans="1:52" hidden="1" outlineLevel="1" x14ac:dyDescent="0.25">
      <c r="A63" s="159"/>
      <c r="B63" s="1359"/>
      <c r="C63" s="672" t="str">
        <f>'Optimalizačné opatrenia'!$B$13</f>
        <v>Proaktivita</v>
      </c>
      <c r="D63" s="718" t="str">
        <f t="shared" si="42"/>
        <v>N</v>
      </c>
      <c r="E63" s="703" t="str">
        <f t="shared" si="42"/>
        <v>N</v>
      </c>
      <c r="F63" s="703" t="str">
        <f t="shared" si="42"/>
        <v>N</v>
      </c>
      <c r="G63" s="703" t="str">
        <f t="shared" si="42"/>
        <v>N</v>
      </c>
      <c r="H63" s="703"/>
      <c r="I63" s="703"/>
      <c r="J63" s="703"/>
      <c r="K63" s="703"/>
      <c r="L63" s="703"/>
      <c r="M63" s="703"/>
      <c r="N63" s="703" t="str">
        <f t="shared" ref="N63" si="65">N49</f>
        <v>N</v>
      </c>
      <c r="O63" s="703"/>
      <c r="P63" s="703" t="str">
        <f t="shared" ref="P63:AC63" si="66">P49</f>
        <v>N</v>
      </c>
      <c r="Q63" s="703" t="str">
        <f t="shared" si="66"/>
        <v>N</v>
      </c>
      <c r="R63" s="703" t="str">
        <f t="shared" si="66"/>
        <v>A</v>
      </c>
      <c r="S63" s="703" t="str">
        <f t="shared" si="66"/>
        <v>A</v>
      </c>
      <c r="T63" s="703" t="str">
        <f t="shared" si="66"/>
        <v>A</v>
      </c>
      <c r="U63" s="703" t="str">
        <f t="shared" si="66"/>
        <v>N</v>
      </c>
      <c r="V63" s="703" t="str">
        <f t="shared" si="66"/>
        <v>A</v>
      </c>
      <c r="W63" s="703" t="str">
        <f t="shared" si="66"/>
        <v>N</v>
      </c>
      <c r="X63" s="703" t="str">
        <f t="shared" si="66"/>
        <v>N</v>
      </c>
      <c r="Y63" s="703" t="str">
        <f t="shared" si="66"/>
        <v>A</v>
      </c>
      <c r="Z63" s="703" t="str">
        <f t="shared" si="66"/>
        <v>A</v>
      </c>
      <c r="AA63" s="703" t="str">
        <f t="shared" si="66"/>
        <v>A</v>
      </c>
      <c r="AB63" s="703" t="str">
        <f t="shared" si="66"/>
        <v>A</v>
      </c>
      <c r="AC63" s="703" t="str">
        <f t="shared" si="66"/>
        <v>A</v>
      </c>
      <c r="AD63" s="804"/>
      <c r="AE63" s="804"/>
      <c r="AF63" s="791"/>
      <c r="AG63" s="798"/>
      <c r="AH63" s="950"/>
      <c r="AI63" s="732"/>
      <c r="AJ63" s="733"/>
    </row>
    <row r="64" spans="1:52" hidden="1" outlineLevel="1" x14ac:dyDescent="0.25">
      <c r="A64" s="159"/>
      <c r="B64" s="720"/>
      <c r="C64" s="722" t="s">
        <v>538</v>
      </c>
      <c r="D64" s="723">
        <f t="shared" si="42"/>
        <v>0.3</v>
      </c>
      <c r="E64" s="721">
        <f t="shared" si="42"/>
        <v>0</v>
      </c>
      <c r="F64" s="724">
        <f t="shared" si="42"/>
        <v>0</v>
      </c>
      <c r="G64" s="724">
        <f t="shared" si="42"/>
        <v>0.3</v>
      </c>
      <c r="H64" s="724"/>
      <c r="I64" s="724"/>
      <c r="J64" s="724"/>
      <c r="K64" s="724"/>
      <c r="L64" s="724"/>
      <c r="M64" s="724"/>
      <c r="N64" s="724">
        <f t="shared" ref="N64" si="67">N50</f>
        <v>0.3</v>
      </c>
      <c r="O64" s="724"/>
      <c r="P64" s="724">
        <f t="shared" ref="P64:AC64" si="68">P50</f>
        <v>0.45</v>
      </c>
      <c r="Q64" s="724">
        <f t="shared" si="68"/>
        <v>0.3</v>
      </c>
      <c r="R64" s="724">
        <f t="shared" si="68"/>
        <v>0.25</v>
      </c>
      <c r="S64" s="724">
        <f t="shared" si="68"/>
        <v>0.25</v>
      </c>
      <c r="T64" s="724">
        <f t="shared" si="68"/>
        <v>0.4</v>
      </c>
      <c r="U64" s="724">
        <f t="shared" si="68"/>
        <v>0.3</v>
      </c>
      <c r="V64" s="724">
        <f t="shared" si="68"/>
        <v>0.5</v>
      </c>
      <c r="W64" s="724">
        <f t="shared" si="68"/>
        <v>0.3</v>
      </c>
      <c r="X64" s="724">
        <f t="shared" si="68"/>
        <v>0.3</v>
      </c>
      <c r="Y64" s="724">
        <f t="shared" si="68"/>
        <v>0.25</v>
      </c>
      <c r="Z64" s="724">
        <f t="shared" si="68"/>
        <v>0.4</v>
      </c>
      <c r="AA64" s="724">
        <f t="shared" si="68"/>
        <v>0.5</v>
      </c>
      <c r="AB64" s="724">
        <f t="shared" si="68"/>
        <v>0.25</v>
      </c>
      <c r="AC64" s="724">
        <f t="shared" si="68"/>
        <v>0.25</v>
      </c>
      <c r="AD64" s="805"/>
      <c r="AE64" s="805"/>
      <c r="AF64" s="792"/>
      <c r="AG64" s="799"/>
      <c r="AH64" s="951"/>
      <c r="AI64" s="735"/>
      <c r="AJ64" s="736"/>
    </row>
    <row r="65" spans="1:52" ht="42.6" customHeight="1" collapsed="1" x14ac:dyDescent="0.25">
      <c r="A65" s="159">
        <f ca="1">OFFSET(A65,-14,0)+1</f>
        <v>5</v>
      </c>
      <c r="B65" s="234" t="str">
        <f ca="1">'Procesy - AS IS'!B19</f>
        <v>Meranie č. 5</v>
      </c>
      <c r="C65" s="650" t="str">
        <f>'Procesy - AS IS'!C19</f>
        <v>VOLKSWAGEN, SLOVAKIA, a.s., Prevencia závažných priemyselných havárií, 5220/2018</v>
      </c>
      <c r="D65" s="726">
        <f>-'Procesy - AS IS'!D21*D78</f>
        <v>0</v>
      </c>
      <c r="E65" s="653">
        <f>-'Procesy - AS IS'!E21*E78</f>
        <v>0</v>
      </c>
      <c r="F65" s="653">
        <f>-'Procesy - AS IS'!F21*F78</f>
        <v>0</v>
      </c>
      <c r="G65" s="653">
        <f>-'Procesy - AS IS'!G21*G78</f>
        <v>-4.2</v>
      </c>
      <c r="H65" s="653" t="s">
        <v>555</v>
      </c>
      <c r="I65" s="653" t="s">
        <v>555</v>
      </c>
      <c r="J65" s="653" t="s">
        <v>555</v>
      </c>
      <c r="K65" s="653" t="s">
        <v>555</v>
      </c>
      <c r="L65" s="653" t="s">
        <v>555</v>
      </c>
      <c r="M65" s="653" t="s">
        <v>555</v>
      </c>
      <c r="N65" s="653">
        <f>-'Procesy - AS IS'!N21*N78</f>
        <v>0</v>
      </c>
      <c r="O65" s="653" t="s">
        <v>559</v>
      </c>
      <c r="P65" s="653">
        <f>-'Procesy - AS IS'!P21*P78</f>
        <v>-1.8</v>
      </c>
      <c r="Q65" s="653">
        <f>-'Procesy - AS IS'!Q21*Q78</f>
        <v>0</v>
      </c>
      <c r="R65" s="653">
        <f>-'Procesy - AS IS'!R21*R78</f>
        <v>-2.9830508474576272</v>
      </c>
      <c r="S65" s="653">
        <f>-'Procesy - AS IS'!S21*S78</f>
        <v>-13.016949152542374</v>
      </c>
      <c r="T65" s="653">
        <f>-'Procesy - AS IS'!T21*T78</f>
        <v>-1.1932203389830509</v>
      </c>
      <c r="U65" s="653">
        <f>-'Procesy - AS IS'!U21*U78</f>
        <v>-1.952542372881356</v>
      </c>
      <c r="V65" s="653">
        <f>-'Procesy - AS IS'!V21*V78</f>
        <v>-4</v>
      </c>
      <c r="W65" s="653">
        <f>-'Procesy - AS IS'!W21*W78</f>
        <v>-0.22372881355932203</v>
      </c>
      <c r="X65" s="653">
        <f>-'Procesy - AS IS'!X21*X78</f>
        <v>0</v>
      </c>
      <c r="Y65" s="653">
        <f>-'Procesy - AS IS'!Y21*Y78</f>
        <v>-1.7898305084745765</v>
      </c>
      <c r="Z65" s="653">
        <f>-'Procesy - AS IS'!Z21*Z78</f>
        <v>-5.4237288135593226E-2</v>
      </c>
      <c r="AA65" s="653">
        <f>-'Procesy - AS IS'!AA21*AA78</f>
        <v>-3.3898305084745763E-2</v>
      </c>
      <c r="AB65" s="653">
        <f>-'Procesy - AS IS'!AB21*AB78</f>
        <v>-0.20338983050847456</v>
      </c>
      <c r="AC65" s="653">
        <f>-'Procesy - AS IS'!AC21*AC78</f>
        <v>-0.56949152542372883</v>
      </c>
      <c r="AD65" s="754"/>
      <c r="AE65" s="754">
        <f>SUM(D65:AC65)</f>
        <v>-32.020338983050848</v>
      </c>
      <c r="AF65" s="728">
        <f>AE65/'Procesy - AS IS'!AD21</f>
        <v>-0.36598217745060052</v>
      </c>
      <c r="AG65" s="797">
        <f>'Procesy - AS IS'!AG21/(1+$AF65)-'Procesy - AS IS'!AG21</f>
        <v>34.057320948423353</v>
      </c>
      <c r="AH65" s="949">
        <f>'Procesy - AS IS'!AH21/(1+$AF65)-'Procesy - AS IS'!AH21</f>
        <v>6.3496700073331667</v>
      </c>
      <c r="AI65" s="730">
        <f>'Procesy - AS IS'!AI21/(1+$AF65)-'Procesy - AS IS'!AI21</f>
        <v>6.3496700073331667</v>
      </c>
      <c r="AJ65" s="731">
        <f>'Procesy - AS IS'!AJ21/(1+$AF65)-'Procesy - AS IS'!AJ21</f>
        <v>1.1544854558787581</v>
      </c>
      <c r="AL65" s="232"/>
      <c r="AZ65" s="227"/>
    </row>
    <row r="66" spans="1:52" hidden="1" outlineLevel="1" x14ac:dyDescent="0.25">
      <c r="A66" s="159"/>
      <c r="B66" s="1358" t="s">
        <v>528</v>
      </c>
      <c r="C66" s="667" t="str">
        <f>'Optimalizačné opatrenia'!$B$2</f>
        <v>Modernizácia</v>
      </c>
      <c r="D66" s="718" t="str">
        <f t="shared" ref="D66:G78" si="69">D24</f>
        <v>N</v>
      </c>
      <c r="E66" s="703" t="str">
        <f t="shared" si="69"/>
        <v>N</v>
      </c>
      <c r="F66" s="703" t="str">
        <f t="shared" si="69"/>
        <v>N</v>
      </c>
      <c r="G66" s="703" t="str">
        <f t="shared" si="69"/>
        <v>A</v>
      </c>
      <c r="H66" s="703"/>
      <c r="I66" s="703"/>
      <c r="J66" s="703"/>
      <c r="K66" s="703"/>
      <c r="L66" s="703"/>
      <c r="M66" s="703"/>
      <c r="N66" s="703" t="str">
        <f t="shared" ref="N66:P78" si="70">N24</f>
        <v>N</v>
      </c>
      <c r="O66" s="703"/>
      <c r="P66" s="703" t="str">
        <f t="shared" si="70"/>
        <v>A</v>
      </c>
      <c r="Q66" s="703" t="str">
        <f t="shared" ref="Q66:AC78" si="71">Q24</f>
        <v>A</v>
      </c>
      <c r="R66" s="703" t="str">
        <f t="shared" si="71"/>
        <v>A</v>
      </c>
      <c r="S66" s="703" t="str">
        <f t="shared" si="71"/>
        <v>A</v>
      </c>
      <c r="T66" s="703" t="str">
        <f t="shared" si="71"/>
        <v>A</v>
      </c>
      <c r="U66" s="703" t="str">
        <f t="shared" si="71"/>
        <v>A</v>
      </c>
      <c r="V66" s="703" t="str">
        <f t="shared" si="71"/>
        <v>A</v>
      </c>
      <c r="W66" s="703" t="str">
        <f t="shared" si="71"/>
        <v>A</v>
      </c>
      <c r="X66" s="703" t="str">
        <f t="shared" si="71"/>
        <v>A</v>
      </c>
      <c r="Y66" s="703" t="str">
        <f t="shared" si="71"/>
        <v>A</v>
      </c>
      <c r="Z66" s="703" t="str">
        <f t="shared" si="71"/>
        <v>A</v>
      </c>
      <c r="AA66" s="703" t="str">
        <f t="shared" si="71"/>
        <v>A</v>
      </c>
      <c r="AB66" s="703" t="str">
        <f t="shared" si="71"/>
        <v>A</v>
      </c>
      <c r="AC66" s="703" t="str">
        <f t="shared" si="71"/>
        <v>A</v>
      </c>
      <c r="AD66" s="804"/>
      <c r="AE66" s="804"/>
      <c r="AF66" s="791"/>
      <c r="AG66" s="798"/>
      <c r="AH66" s="950"/>
      <c r="AI66" s="732"/>
      <c r="AJ66" s="733"/>
    </row>
    <row r="67" spans="1:52" hidden="1" outlineLevel="1" x14ac:dyDescent="0.25">
      <c r="A67" s="159"/>
      <c r="B67" s="1359"/>
      <c r="C67" s="667" t="str">
        <f>'Optimalizačné opatrenia'!$B$3</f>
        <v>Sfunkčnenie</v>
      </c>
      <c r="D67" s="718" t="str">
        <f t="shared" si="69"/>
        <v>N</v>
      </c>
      <c r="E67" s="703" t="str">
        <f t="shared" si="69"/>
        <v>N</v>
      </c>
      <c r="F67" s="703" t="str">
        <f t="shared" si="69"/>
        <v>N</v>
      </c>
      <c r="G67" s="703" t="str">
        <f t="shared" si="69"/>
        <v>N</v>
      </c>
      <c r="H67" s="703"/>
      <c r="I67" s="703"/>
      <c r="J67" s="703"/>
      <c r="K67" s="703"/>
      <c r="L67" s="703"/>
      <c r="M67" s="703"/>
      <c r="N67" s="703" t="str">
        <f t="shared" si="70"/>
        <v>N</v>
      </c>
      <c r="O67" s="703"/>
      <c r="P67" s="703" t="str">
        <f t="shared" si="70"/>
        <v>N</v>
      </c>
      <c r="Q67" s="703" t="str">
        <f t="shared" si="71"/>
        <v>N</v>
      </c>
      <c r="R67" s="703" t="str">
        <f t="shared" si="71"/>
        <v>N</v>
      </c>
      <c r="S67" s="703" t="str">
        <f t="shared" si="71"/>
        <v>N</v>
      </c>
      <c r="T67" s="703" t="str">
        <f t="shared" si="71"/>
        <v>N</v>
      </c>
      <c r="U67" s="703" t="str">
        <f t="shared" si="71"/>
        <v>N</v>
      </c>
      <c r="V67" s="703" t="str">
        <f t="shared" si="71"/>
        <v>N</v>
      </c>
      <c r="W67" s="703" t="str">
        <f t="shared" si="71"/>
        <v>N</v>
      </c>
      <c r="X67" s="703" t="str">
        <f t="shared" si="71"/>
        <v>N</v>
      </c>
      <c r="Y67" s="703" t="str">
        <f t="shared" si="71"/>
        <v>N</v>
      </c>
      <c r="Z67" s="703" t="str">
        <f t="shared" si="71"/>
        <v>N</v>
      </c>
      <c r="AA67" s="703" t="str">
        <f t="shared" si="71"/>
        <v>N</v>
      </c>
      <c r="AB67" s="703" t="str">
        <f t="shared" si="71"/>
        <v>N</v>
      </c>
      <c r="AC67" s="703" t="str">
        <f t="shared" si="71"/>
        <v>N</v>
      </c>
      <c r="AD67" s="804"/>
      <c r="AE67" s="804"/>
      <c r="AF67" s="791"/>
      <c r="AG67" s="798"/>
      <c r="AH67" s="950"/>
      <c r="AI67" s="732"/>
      <c r="AJ67" s="733"/>
    </row>
    <row r="68" spans="1:52" hidden="1" outlineLevel="1" x14ac:dyDescent="0.25">
      <c r="A68" s="159"/>
      <c r="B68" s="1359"/>
      <c r="C68" s="667" t="str">
        <f>'Optimalizačné opatrenia'!$B$4</f>
        <v>Zjednotenie</v>
      </c>
      <c r="D68" s="718" t="str">
        <f t="shared" si="69"/>
        <v>N</v>
      </c>
      <c r="E68" s="703" t="str">
        <f t="shared" si="69"/>
        <v>N</v>
      </c>
      <c r="F68" s="703" t="str">
        <f t="shared" si="69"/>
        <v>N</v>
      </c>
      <c r="G68" s="703" t="str">
        <f t="shared" si="69"/>
        <v>A</v>
      </c>
      <c r="H68" s="703"/>
      <c r="I68" s="703"/>
      <c r="J68" s="703"/>
      <c r="K68" s="703"/>
      <c r="L68" s="703"/>
      <c r="M68" s="703"/>
      <c r="N68" s="703" t="str">
        <f t="shared" si="70"/>
        <v>N</v>
      </c>
      <c r="O68" s="703"/>
      <c r="P68" s="703" t="str">
        <f t="shared" si="70"/>
        <v>A</v>
      </c>
      <c r="Q68" s="703" t="str">
        <f t="shared" si="71"/>
        <v>A</v>
      </c>
      <c r="R68" s="703" t="str">
        <f t="shared" si="71"/>
        <v>A</v>
      </c>
      <c r="S68" s="703" t="str">
        <f t="shared" si="71"/>
        <v>A</v>
      </c>
      <c r="T68" s="703" t="str">
        <f t="shared" si="71"/>
        <v>A</v>
      </c>
      <c r="U68" s="703" t="str">
        <f t="shared" si="71"/>
        <v>A</v>
      </c>
      <c r="V68" s="703" t="str">
        <f t="shared" si="71"/>
        <v>A</v>
      </c>
      <c r="W68" s="703" t="str">
        <f t="shared" si="71"/>
        <v>A</v>
      </c>
      <c r="X68" s="703" t="str">
        <f t="shared" si="71"/>
        <v>A</v>
      </c>
      <c r="Y68" s="703" t="str">
        <f t="shared" si="71"/>
        <v>A</v>
      </c>
      <c r="Z68" s="703" t="str">
        <f t="shared" si="71"/>
        <v>A</v>
      </c>
      <c r="AA68" s="703" t="str">
        <f t="shared" si="71"/>
        <v>A</v>
      </c>
      <c r="AB68" s="703" t="str">
        <f t="shared" si="71"/>
        <v>A</v>
      </c>
      <c r="AC68" s="703" t="str">
        <f t="shared" si="71"/>
        <v>A</v>
      </c>
      <c r="AD68" s="804"/>
      <c r="AE68" s="804"/>
      <c r="AF68" s="791"/>
      <c r="AG68" s="798"/>
      <c r="AH68" s="950"/>
      <c r="AI68" s="732"/>
      <c r="AJ68" s="733"/>
    </row>
    <row r="69" spans="1:52" hidden="1" outlineLevel="1" x14ac:dyDescent="0.25">
      <c r="A69" s="159"/>
      <c r="B69" s="1359"/>
      <c r="C69" s="667" t="str">
        <f>'Optimalizačné opatrenia'!$B$5</f>
        <v>Centralizácia</v>
      </c>
      <c r="D69" s="718" t="str">
        <f t="shared" si="69"/>
        <v>N</v>
      </c>
      <c r="E69" s="703" t="str">
        <f t="shared" si="69"/>
        <v>N</v>
      </c>
      <c r="F69" s="703" t="str">
        <f t="shared" si="69"/>
        <v>N</v>
      </c>
      <c r="G69" s="703" t="str">
        <f t="shared" si="69"/>
        <v>A</v>
      </c>
      <c r="H69" s="703"/>
      <c r="I69" s="703"/>
      <c r="J69" s="703"/>
      <c r="K69" s="703"/>
      <c r="L69" s="703"/>
      <c r="M69" s="703"/>
      <c r="N69" s="703" t="str">
        <f t="shared" si="70"/>
        <v>N</v>
      </c>
      <c r="O69" s="703"/>
      <c r="P69" s="703" t="str">
        <f t="shared" si="70"/>
        <v>A</v>
      </c>
      <c r="Q69" s="703" t="str">
        <f t="shared" si="71"/>
        <v>A</v>
      </c>
      <c r="R69" s="703" t="str">
        <f t="shared" si="71"/>
        <v>A</v>
      </c>
      <c r="S69" s="703" t="str">
        <f t="shared" si="71"/>
        <v>A</v>
      </c>
      <c r="T69" s="703" t="str">
        <f t="shared" si="71"/>
        <v>A</v>
      </c>
      <c r="U69" s="703" t="str">
        <f t="shared" si="71"/>
        <v>A</v>
      </c>
      <c r="V69" s="703" t="str">
        <f t="shared" si="71"/>
        <v>A</v>
      </c>
      <c r="W69" s="703" t="str">
        <f t="shared" si="71"/>
        <v>A</v>
      </c>
      <c r="X69" s="703" t="str">
        <f t="shared" si="71"/>
        <v>A</v>
      </c>
      <c r="Y69" s="703" t="str">
        <f t="shared" si="71"/>
        <v>A</v>
      </c>
      <c r="Z69" s="703" t="str">
        <f t="shared" si="71"/>
        <v>A</v>
      </c>
      <c r="AA69" s="703" t="str">
        <f t="shared" si="71"/>
        <v>A</v>
      </c>
      <c r="AB69" s="703" t="str">
        <f t="shared" si="71"/>
        <v>A</v>
      </c>
      <c r="AC69" s="703" t="str">
        <f t="shared" si="71"/>
        <v>A</v>
      </c>
      <c r="AD69" s="804"/>
      <c r="AE69" s="804"/>
      <c r="AF69" s="791"/>
      <c r="AG69" s="798"/>
      <c r="AH69" s="950"/>
      <c r="AI69" s="732"/>
      <c r="AJ69" s="733"/>
    </row>
    <row r="70" spans="1:52" hidden="1" outlineLevel="1" x14ac:dyDescent="0.25">
      <c r="A70" s="159"/>
      <c r="B70" s="1359"/>
      <c r="C70" s="667" t="str">
        <f>'Optimalizačné opatrenia'!$B$6</f>
        <v>Elektronizácia</v>
      </c>
      <c r="D70" s="718" t="str">
        <f t="shared" si="69"/>
        <v>N</v>
      </c>
      <c r="E70" s="703" t="str">
        <f t="shared" si="69"/>
        <v>N</v>
      </c>
      <c r="F70" s="703" t="str">
        <f t="shared" si="69"/>
        <v>N</v>
      </c>
      <c r="G70" s="703" t="str">
        <f t="shared" si="69"/>
        <v>A</v>
      </c>
      <c r="H70" s="703"/>
      <c r="I70" s="703"/>
      <c r="J70" s="703"/>
      <c r="K70" s="703"/>
      <c r="L70" s="703"/>
      <c r="M70" s="703"/>
      <c r="N70" s="703" t="str">
        <f t="shared" si="70"/>
        <v>N</v>
      </c>
      <c r="O70" s="703"/>
      <c r="P70" s="703" t="str">
        <f t="shared" si="70"/>
        <v>A</v>
      </c>
      <c r="Q70" s="703" t="str">
        <f t="shared" si="71"/>
        <v>A</v>
      </c>
      <c r="R70" s="703" t="str">
        <f t="shared" si="71"/>
        <v>A</v>
      </c>
      <c r="S70" s="703" t="str">
        <f t="shared" si="71"/>
        <v>A</v>
      </c>
      <c r="T70" s="703" t="str">
        <f t="shared" si="71"/>
        <v>A</v>
      </c>
      <c r="U70" s="703" t="str">
        <f t="shared" si="71"/>
        <v>A</v>
      </c>
      <c r="V70" s="703" t="str">
        <f t="shared" si="71"/>
        <v>A</v>
      </c>
      <c r="W70" s="703" t="str">
        <f t="shared" si="71"/>
        <v>A</v>
      </c>
      <c r="X70" s="703" t="str">
        <f t="shared" si="71"/>
        <v>A</v>
      </c>
      <c r="Y70" s="703" t="str">
        <f t="shared" si="71"/>
        <v>A</v>
      </c>
      <c r="Z70" s="703" t="str">
        <f t="shared" si="71"/>
        <v>A</v>
      </c>
      <c r="AA70" s="703" t="str">
        <f t="shared" si="71"/>
        <v>A</v>
      </c>
      <c r="AB70" s="703" t="str">
        <f t="shared" si="71"/>
        <v>A</v>
      </c>
      <c r="AC70" s="703" t="str">
        <f t="shared" si="71"/>
        <v>A</v>
      </c>
      <c r="AD70" s="804"/>
      <c r="AE70" s="804"/>
      <c r="AF70" s="791"/>
      <c r="AG70" s="798"/>
      <c r="AH70" s="950"/>
      <c r="AI70" s="732"/>
      <c r="AJ70" s="733"/>
    </row>
    <row r="71" spans="1:52" hidden="1" outlineLevel="1" x14ac:dyDescent="0.25">
      <c r="A71" s="159"/>
      <c r="B71" s="1359"/>
      <c r="C71" s="667" t="str">
        <f>'Optimalizačné opatrenia'!$B$7</f>
        <v>Automatizácia</v>
      </c>
      <c r="D71" s="718" t="str">
        <f t="shared" si="69"/>
        <v>N</v>
      </c>
      <c r="E71" s="703" t="str">
        <f t="shared" si="69"/>
        <v>N</v>
      </c>
      <c r="F71" s="703" t="str">
        <f t="shared" si="69"/>
        <v>N</v>
      </c>
      <c r="G71" s="703" t="str">
        <f t="shared" si="69"/>
        <v>A</v>
      </c>
      <c r="H71" s="703"/>
      <c r="I71" s="703"/>
      <c r="J71" s="703"/>
      <c r="K71" s="703"/>
      <c r="L71" s="703"/>
      <c r="M71" s="703"/>
      <c r="N71" s="703" t="str">
        <f t="shared" si="70"/>
        <v>N</v>
      </c>
      <c r="O71" s="703"/>
      <c r="P71" s="703" t="str">
        <f t="shared" si="70"/>
        <v>A</v>
      </c>
      <c r="Q71" s="703" t="str">
        <f t="shared" si="71"/>
        <v>A</v>
      </c>
      <c r="R71" s="703" t="str">
        <f t="shared" si="71"/>
        <v>A</v>
      </c>
      <c r="S71" s="703" t="str">
        <f t="shared" si="71"/>
        <v>A</v>
      </c>
      <c r="T71" s="703" t="str">
        <f t="shared" si="71"/>
        <v>A</v>
      </c>
      <c r="U71" s="703" t="str">
        <f t="shared" si="71"/>
        <v>A</v>
      </c>
      <c r="V71" s="703" t="str">
        <f t="shared" si="71"/>
        <v>A</v>
      </c>
      <c r="W71" s="703" t="str">
        <f t="shared" si="71"/>
        <v>A</v>
      </c>
      <c r="X71" s="703" t="str">
        <f t="shared" si="71"/>
        <v>A</v>
      </c>
      <c r="Y71" s="703" t="str">
        <f t="shared" si="71"/>
        <v>A</v>
      </c>
      <c r="Z71" s="703" t="str">
        <f t="shared" si="71"/>
        <v>A</v>
      </c>
      <c r="AA71" s="703" t="str">
        <f t="shared" si="71"/>
        <v>A</v>
      </c>
      <c r="AB71" s="703" t="str">
        <f t="shared" si="71"/>
        <v>A</v>
      </c>
      <c r="AC71" s="703" t="str">
        <f t="shared" si="71"/>
        <v>A</v>
      </c>
      <c r="AD71" s="804"/>
      <c r="AE71" s="804"/>
      <c r="AF71" s="791"/>
      <c r="AG71" s="798"/>
      <c r="AH71" s="950"/>
      <c r="AI71" s="732"/>
      <c r="AJ71" s="733"/>
    </row>
    <row r="72" spans="1:52" hidden="1" outlineLevel="1" x14ac:dyDescent="0.25">
      <c r="A72" s="159"/>
      <c r="B72" s="1359"/>
      <c r="C72" s="667" t="str">
        <f>'Optimalizačné opatrenia'!$B$8</f>
        <v>Bezpečnosť</v>
      </c>
      <c r="D72" s="718" t="str">
        <f t="shared" si="69"/>
        <v>N</v>
      </c>
      <c r="E72" s="703" t="str">
        <f t="shared" si="69"/>
        <v>N</v>
      </c>
      <c r="F72" s="703" t="str">
        <f t="shared" si="69"/>
        <v>N</v>
      </c>
      <c r="G72" s="703" t="str">
        <f t="shared" si="69"/>
        <v>A</v>
      </c>
      <c r="H72" s="703"/>
      <c r="I72" s="703"/>
      <c r="J72" s="703"/>
      <c r="K72" s="703"/>
      <c r="L72" s="703"/>
      <c r="M72" s="703"/>
      <c r="N72" s="703" t="str">
        <f t="shared" si="70"/>
        <v>N</v>
      </c>
      <c r="O72" s="703"/>
      <c r="P72" s="703" t="str">
        <f t="shared" si="70"/>
        <v>A</v>
      </c>
      <c r="Q72" s="703" t="str">
        <f t="shared" si="71"/>
        <v>A</v>
      </c>
      <c r="R72" s="703" t="str">
        <f t="shared" si="71"/>
        <v>A</v>
      </c>
      <c r="S72" s="703" t="str">
        <f t="shared" si="71"/>
        <v>A</v>
      </c>
      <c r="T72" s="703" t="str">
        <f t="shared" si="71"/>
        <v>A</v>
      </c>
      <c r="U72" s="703" t="str">
        <f t="shared" si="71"/>
        <v>A</v>
      </c>
      <c r="V72" s="703" t="str">
        <f t="shared" si="71"/>
        <v>A</v>
      </c>
      <c r="W72" s="703" t="str">
        <f t="shared" si="71"/>
        <v>A</v>
      </c>
      <c r="X72" s="703" t="str">
        <f t="shared" si="71"/>
        <v>A</v>
      </c>
      <c r="Y72" s="703" t="str">
        <f t="shared" si="71"/>
        <v>A</v>
      </c>
      <c r="Z72" s="703" t="str">
        <f t="shared" si="71"/>
        <v>A</v>
      </c>
      <c r="AA72" s="703" t="str">
        <f t="shared" si="71"/>
        <v>A</v>
      </c>
      <c r="AB72" s="703" t="str">
        <f t="shared" si="71"/>
        <v>A</v>
      </c>
      <c r="AC72" s="703" t="str">
        <f t="shared" si="71"/>
        <v>A</v>
      </c>
      <c r="AD72" s="804"/>
      <c r="AE72" s="804"/>
      <c r="AF72" s="791"/>
      <c r="AG72" s="798"/>
      <c r="AH72" s="950"/>
      <c r="AI72" s="732"/>
      <c r="AJ72" s="733"/>
    </row>
    <row r="73" spans="1:52" hidden="1" outlineLevel="1" x14ac:dyDescent="0.25">
      <c r="A73" s="159"/>
      <c r="B73" s="1359"/>
      <c r="C73" s="667" t="str">
        <f>'Optimalizačné opatrenia'!$B$9</f>
        <v>Auditovateľnosť</v>
      </c>
      <c r="D73" s="718" t="str">
        <f t="shared" si="69"/>
        <v>N</v>
      </c>
      <c r="E73" s="703" t="str">
        <f t="shared" si="69"/>
        <v>N</v>
      </c>
      <c r="F73" s="703" t="str">
        <f t="shared" si="69"/>
        <v>N</v>
      </c>
      <c r="G73" s="703" t="str">
        <f t="shared" si="69"/>
        <v>A</v>
      </c>
      <c r="H73" s="703"/>
      <c r="I73" s="703"/>
      <c r="J73" s="703"/>
      <c r="K73" s="703"/>
      <c r="L73" s="703"/>
      <c r="M73" s="703"/>
      <c r="N73" s="703" t="str">
        <f t="shared" si="70"/>
        <v>N</v>
      </c>
      <c r="O73" s="703"/>
      <c r="P73" s="703" t="str">
        <f t="shared" si="70"/>
        <v>A</v>
      </c>
      <c r="Q73" s="703" t="str">
        <f t="shared" si="71"/>
        <v>A</v>
      </c>
      <c r="R73" s="703" t="str">
        <f t="shared" si="71"/>
        <v>A</v>
      </c>
      <c r="S73" s="703" t="str">
        <f t="shared" si="71"/>
        <v>A</v>
      </c>
      <c r="T73" s="703" t="str">
        <f t="shared" si="71"/>
        <v>A</v>
      </c>
      <c r="U73" s="703" t="str">
        <f t="shared" si="71"/>
        <v>A</v>
      </c>
      <c r="V73" s="703" t="str">
        <f t="shared" si="71"/>
        <v>A</v>
      </c>
      <c r="W73" s="703" t="str">
        <f t="shared" si="71"/>
        <v>A</v>
      </c>
      <c r="X73" s="703" t="str">
        <f t="shared" si="71"/>
        <v>A</v>
      </c>
      <c r="Y73" s="703" t="str">
        <f t="shared" si="71"/>
        <v>A</v>
      </c>
      <c r="Z73" s="703" t="str">
        <f t="shared" si="71"/>
        <v>A</v>
      </c>
      <c r="AA73" s="703" t="str">
        <f t="shared" si="71"/>
        <v>A</v>
      </c>
      <c r="AB73" s="703" t="str">
        <f t="shared" si="71"/>
        <v>A</v>
      </c>
      <c r="AC73" s="703" t="str">
        <f t="shared" si="71"/>
        <v>A</v>
      </c>
      <c r="AD73" s="804"/>
      <c r="AE73" s="804"/>
      <c r="AF73" s="791"/>
      <c r="AG73" s="798"/>
      <c r="AH73" s="950"/>
      <c r="AI73" s="732"/>
      <c r="AJ73" s="733"/>
    </row>
    <row r="74" spans="1:52" hidden="1" outlineLevel="1" x14ac:dyDescent="0.25">
      <c r="A74" s="159"/>
      <c r="B74" s="1359"/>
      <c r="C74" s="667" t="str">
        <f>'Optimalizačné opatrenia'!$B$10</f>
        <v>Transparentnosť</v>
      </c>
      <c r="D74" s="718" t="str">
        <f t="shared" si="69"/>
        <v>N</v>
      </c>
      <c r="E74" s="703" t="str">
        <f t="shared" si="69"/>
        <v>N</v>
      </c>
      <c r="F74" s="703" t="str">
        <f t="shared" si="69"/>
        <v>N</v>
      </c>
      <c r="G74" s="703" t="str">
        <f t="shared" si="69"/>
        <v>N</v>
      </c>
      <c r="H74" s="703"/>
      <c r="I74" s="703"/>
      <c r="J74" s="703"/>
      <c r="K74" s="703"/>
      <c r="L74" s="703"/>
      <c r="M74" s="703"/>
      <c r="N74" s="703" t="str">
        <f t="shared" si="70"/>
        <v>N</v>
      </c>
      <c r="O74" s="703"/>
      <c r="P74" s="703" t="str">
        <f t="shared" si="70"/>
        <v>A</v>
      </c>
      <c r="Q74" s="703" t="str">
        <f t="shared" si="71"/>
        <v>N</v>
      </c>
      <c r="R74" s="703" t="str">
        <f t="shared" si="71"/>
        <v>N</v>
      </c>
      <c r="S74" s="703" t="str">
        <f t="shared" si="71"/>
        <v>N</v>
      </c>
      <c r="T74" s="703" t="str">
        <f t="shared" si="71"/>
        <v>N</v>
      </c>
      <c r="U74" s="703" t="str">
        <f t="shared" si="71"/>
        <v>N</v>
      </c>
      <c r="V74" s="703" t="str">
        <f t="shared" si="71"/>
        <v>A</v>
      </c>
      <c r="W74" s="703" t="str">
        <f t="shared" si="71"/>
        <v>N</v>
      </c>
      <c r="X74" s="703" t="str">
        <f t="shared" si="71"/>
        <v>N</v>
      </c>
      <c r="Y74" s="703" t="str">
        <f t="shared" si="71"/>
        <v>N</v>
      </c>
      <c r="Z74" s="703" t="str">
        <f t="shared" si="71"/>
        <v>N</v>
      </c>
      <c r="AA74" s="703" t="str">
        <f t="shared" si="71"/>
        <v>A</v>
      </c>
      <c r="AB74" s="703" t="str">
        <f t="shared" si="71"/>
        <v>N</v>
      </c>
      <c r="AC74" s="703" t="str">
        <f t="shared" si="71"/>
        <v>N</v>
      </c>
      <c r="AD74" s="804"/>
      <c r="AE74" s="804"/>
      <c r="AF74" s="791"/>
      <c r="AG74" s="798"/>
      <c r="AH74" s="950"/>
      <c r="AI74" s="732"/>
      <c r="AJ74" s="733"/>
    </row>
    <row r="75" spans="1:52" hidden="1" outlineLevel="1" x14ac:dyDescent="0.25">
      <c r="A75" s="159"/>
      <c r="B75" s="1359"/>
      <c r="C75" s="667" t="str">
        <f>'Optimalizačné opatrenia'!$B$11</f>
        <v>Analyzovatelnosť</v>
      </c>
      <c r="D75" s="718" t="str">
        <f t="shared" si="69"/>
        <v>N</v>
      </c>
      <c r="E75" s="703" t="str">
        <f t="shared" si="69"/>
        <v>N</v>
      </c>
      <c r="F75" s="703" t="str">
        <f t="shared" si="69"/>
        <v>N</v>
      </c>
      <c r="G75" s="703" t="str">
        <f t="shared" si="69"/>
        <v>A</v>
      </c>
      <c r="H75" s="703"/>
      <c r="I75" s="703"/>
      <c r="J75" s="703"/>
      <c r="K75" s="703"/>
      <c r="L75" s="703"/>
      <c r="M75" s="703"/>
      <c r="N75" s="703" t="str">
        <f t="shared" si="70"/>
        <v>N</v>
      </c>
      <c r="O75" s="703"/>
      <c r="P75" s="703" t="str">
        <f t="shared" si="70"/>
        <v>A</v>
      </c>
      <c r="Q75" s="703" t="str">
        <f t="shared" si="71"/>
        <v>A</v>
      </c>
      <c r="R75" s="703" t="str">
        <f t="shared" si="71"/>
        <v>A</v>
      </c>
      <c r="S75" s="703" t="str">
        <f t="shared" si="71"/>
        <v>A</v>
      </c>
      <c r="T75" s="703" t="str">
        <f t="shared" si="71"/>
        <v>A</v>
      </c>
      <c r="U75" s="703" t="str">
        <f t="shared" si="71"/>
        <v>A</v>
      </c>
      <c r="V75" s="703" t="str">
        <f t="shared" si="71"/>
        <v>A</v>
      </c>
      <c r="W75" s="703" t="str">
        <f t="shared" si="71"/>
        <v>A</v>
      </c>
      <c r="X75" s="703" t="str">
        <f t="shared" si="71"/>
        <v>A</v>
      </c>
      <c r="Y75" s="703" t="str">
        <f t="shared" si="71"/>
        <v>A</v>
      </c>
      <c r="Z75" s="703" t="str">
        <f t="shared" si="71"/>
        <v>A</v>
      </c>
      <c r="AA75" s="703" t="str">
        <f t="shared" si="71"/>
        <v>A</v>
      </c>
      <c r="AB75" s="703" t="str">
        <f t="shared" si="71"/>
        <v>A</v>
      </c>
      <c r="AC75" s="703" t="str">
        <f t="shared" si="71"/>
        <v>A</v>
      </c>
      <c r="AD75" s="804"/>
      <c r="AE75" s="804"/>
      <c r="AF75" s="791"/>
      <c r="AG75" s="798"/>
      <c r="AH75" s="950"/>
      <c r="AI75" s="732"/>
      <c r="AJ75" s="733"/>
    </row>
    <row r="76" spans="1:52" hidden="1" outlineLevel="1" x14ac:dyDescent="0.25">
      <c r="A76" s="159"/>
      <c r="B76" s="1359"/>
      <c r="C76" s="667" t="str">
        <f>'Optimalizačné opatrenia'!$B$12</f>
        <v>Integrácia</v>
      </c>
      <c r="D76" s="718" t="str">
        <f t="shared" si="69"/>
        <v>N</v>
      </c>
      <c r="E76" s="703" t="str">
        <f t="shared" si="69"/>
        <v>N</v>
      </c>
      <c r="F76" s="703" t="str">
        <f t="shared" si="69"/>
        <v>N</v>
      </c>
      <c r="G76" s="703" t="str">
        <f t="shared" si="69"/>
        <v>A</v>
      </c>
      <c r="H76" s="703"/>
      <c r="I76" s="703"/>
      <c r="J76" s="703"/>
      <c r="K76" s="703"/>
      <c r="L76" s="703"/>
      <c r="M76" s="703"/>
      <c r="N76" s="703" t="str">
        <f t="shared" si="70"/>
        <v>N</v>
      </c>
      <c r="O76" s="703"/>
      <c r="P76" s="703" t="str">
        <f t="shared" si="70"/>
        <v>A</v>
      </c>
      <c r="Q76" s="703" t="str">
        <f t="shared" si="71"/>
        <v>A</v>
      </c>
      <c r="R76" s="703" t="str">
        <f t="shared" si="71"/>
        <v>A</v>
      </c>
      <c r="S76" s="703" t="str">
        <f t="shared" si="71"/>
        <v>A</v>
      </c>
      <c r="T76" s="703" t="str">
        <f t="shared" si="71"/>
        <v>A</v>
      </c>
      <c r="U76" s="703" t="str">
        <f t="shared" si="71"/>
        <v>A</v>
      </c>
      <c r="V76" s="703" t="str">
        <f t="shared" si="71"/>
        <v>A</v>
      </c>
      <c r="W76" s="703" t="str">
        <f t="shared" si="71"/>
        <v>A</v>
      </c>
      <c r="X76" s="703" t="str">
        <f t="shared" si="71"/>
        <v>A</v>
      </c>
      <c r="Y76" s="703" t="str">
        <f t="shared" si="71"/>
        <v>A</v>
      </c>
      <c r="Z76" s="703" t="str">
        <f t="shared" si="71"/>
        <v>A</v>
      </c>
      <c r="AA76" s="703" t="str">
        <f t="shared" si="71"/>
        <v>A</v>
      </c>
      <c r="AB76" s="703" t="str">
        <f t="shared" si="71"/>
        <v>A</v>
      </c>
      <c r="AC76" s="703" t="str">
        <f t="shared" si="71"/>
        <v>A</v>
      </c>
      <c r="AD76" s="804"/>
      <c r="AE76" s="804"/>
      <c r="AF76" s="791"/>
      <c r="AG76" s="798"/>
      <c r="AH76" s="950"/>
      <c r="AI76" s="732"/>
      <c r="AJ76" s="733"/>
    </row>
    <row r="77" spans="1:52" hidden="1" outlineLevel="1" x14ac:dyDescent="0.25">
      <c r="A77" s="159"/>
      <c r="B77" s="1359"/>
      <c r="C77" s="672" t="str">
        <f>'Optimalizačné opatrenia'!$B$13</f>
        <v>Proaktivita</v>
      </c>
      <c r="D77" s="718" t="str">
        <f t="shared" si="69"/>
        <v>N</v>
      </c>
      <c r="E77" s="703" t="str">
        <f t="shared" si="69"/>
        <v>N</v>
      </c>
      <c r="F77" s="703" t="str">
        <f t="shared" si="69"/>
        <v>N</v>
      </c>
      <c r="G77" s="703" t="str">
        <f t="shared" si="69"/>
        <v>N</v>
      </c>
      <c r="H77" s="703"/>
      <c r="I77" s="703"/>
      <c r="J77" s="703"/>
      <c r="K77" s="703"/>
      <c r="L77" s="703"/>
      <c r="M77" s="703"/>
      <c r="N77" s="703" t="str">
        <f t="shared" si="70"/>
        <v>N</v>
      </c>
      <c r="O77" s="703"/>
      <c r="P77" s="703" t="str">
        <f t="shared" si="70"/>
        <v>N</v>
      </c>
      <c r="Q77" s="703" t="str">
        <f t="shared" si="71"/>
        <v>N</v>
      </c>
      <c r="R77" s="703" t="str">
        <f t="shared" si="71"/>
        <v>A</v>
      </c>
      <c r="S77" s="703" t="str">
        <f t="shared" si="71"/>
        <v>A</v>
      </c>
      <c r="T77" s="703" t="str">
        <f t="shared" si="71"/>
        <v>A</v>
      </c>
      <c r="U77" s="703" t="str">
        <f t="shared" si="71"/>
        <v>N</v>
      </c>
      <c r="V77" s="703" t="str">
        <f t="shared" si="71"/>
        <v>A</v>
      </c>
      <c r="W77" s="703" t="str">
        <f t="shared" si="71"/>
        <v>N</v>
      </c>
      <c r="X77" s="703" t="str">
        <f t="shared" si="71"/>
        <v>N</v>
      </c>
      <c r="Y77" s="703" t="str">
        <f t="shared" si="71"/>
        <v>A</v>
      </c>
      <c r="Z77" s="703" t="str">
        <f t="shared" si="71"/>
        <v>A</v>
      </c>
      <c r="AA77" s="703" t="str">
        <f t="shared" si="71"/>
        <v>A</v>
      </c>
      <c r="AB77" s="703" t="str">
        <f t="shared" si="71"/>
        <v>N</v>
      </c>
      <c r="AC77" s="703" t="str">
        <f t="shared" si="71"/>
        <v>N</v>
      </c>
      <c r="AD77" s="804"/>
      <c r="AE77" s="804"/>
      <c r="AF77" s="791"/>
      <c r="AG77" s="798"/>
      <c r="AH77" s="950"/>
      <c r="AI77" s="732"/>
      <c r="AJ77" s="733"/>
    </row>
    <row r="78" spans="1:52" hidden="1" outlineLevel="1" x14ac:dyDescent="0.25">
      <c r="A78" s="159"/>
      <c r="B78" s="720"/>
      <c r="C78" s="722" t="s">
        <v>538</v>
      </c>
      <c r="D78" s="723">
        <f t="shared" si="69"/>
        <v>0</v>
      </c>
      <c r="E78" s="721">
        <f t="shared" si="69"/>
        <v>0</v>
      </c>
      <c r="F78" s="724">
        <f t="shared" si="69"/>
        <v>0</v>
      </c>
      <c r="G78" s="724">
        <f t="shared" si="69"/>
        <v>0.3</v>
      </c>
      <c r="H78" s="724"/>
      <c r="I78" s="724"/>
      <c r="J78" s="724"/>
      <c r="K78" s="724"/>
      <c r="L78" s="724"/>
      <c r="M78" s="724"/>
      <c r="N78" s="724">
        <f t="shared" si="70"/>
        <v>0</v>
      </c>
      <c r="O78" s="724"/>
      <c r="P78" s="724">
        <f t="shared" si="70"/>
        <v>0.45</v>
      </c>
      <c r="Q78" s="724">
        <f t="shared" si="71"/>
        <v>0.3</v>
      </c>
      <c r="R78" s="724">
        <f t="shared" si="71"/>
        <v>0.4</v>
      </c>
      <c r="S78" s="724">
        <f t="shared" si="71"/>
        <v>0.4</v>
      </c>
      <c r="T78" s="724">
        <f t="shared" si="71"/>
        <v>0.4</v>
      </c>
      <c r="U78" s="724">
        <f t="shared" si="71"/>
        <v>0.3</v>
      </c>
      <c r="V78" s="724">
        <f t="shared" si="71"/>
        <v>0.5</v>
      </c>
      <c r="W78" s="724">
        <f t="shared" si="71"/>
        <v>0.3</v>
      </c>
      <c r="X78" s="724">
        <f t="shared" si="71"/>
        <v>0.3</v>
      </c>
      <c r="Y78" s="724">
        <f t="shared" si="71"/>
        <v>0.4</v>
      </c>
      <c r="Z78" s="724">
        <f t="shared" si="71"/>
        <v>0.4</v>
      </c>
      <c r="AA78" s="724">
        <f t="shared" si="71"/>
        <v>0.5</v>
      </c>
      <c r="AB78" s="724">
        <f t="shared" si="71"/>
        <v>0.3</v>
      </c>
      <c r="AC78" s="724">
        <f t="shared" si="71"/>
        <v>0.3</v>
      </c>
      <c r="AD78" s="805"/>
      <c r="AE78" s="805"/>
      <c r="AF78" s="792"/>
      <c r="AG78" s="799"/>
      <c r="AH78" s="951"/>
      <c r="AI78" s="735"/>
      <c r="AJ78" s="736"/>
    </row>
    <row r="79" spans="1:52" ht="42.6" customHeight="1" collapsed="1" x14ac:dyDescent="0.25">
      <c r="A79" s="159">
        <f ca="1">OFFSET(A79,-14,0)+1</f>
        <v>6</v>
      </c>
      <c r="B79" s="234" t="str">
        <f ca="1">'Procesy - AS IS'!B22</f>
        <v>Meranie č. 6</v>
      </c>
      <c r="C79" s="650" t="str">
        <f>'Procesy - AS IS'!C22</f>
        <v>ADDA spol.s.r.o, Slamkova14, 949 07 Nitra - Janíkovce, Chemický zákon, 7262/2018</v>
      </c>
      <c r="D79" s="726">
        <f>-'Procesy - AS IS'!D24*D92</f>
        <v>0</v>
      </c>
      <c r="E79" s="653">
        <f>-'Procesy - AS IS'!E24*E92</f>
        <v>0</v>
      </c>
      <c r="F79" s="653">
        <f>-'Procesy - AS IS'!F24*F92</f>
        <v>-0.8</v>
      </c>
      <c r="G79" s="653">
        <f>-'Procesy - AS IS'!G24*G92</f>
        <v>-4.8</v>
      </c>
      <c r="H79" s="653" t="s">
        <v>555</v>
      </c>
      <c r="I79" s="653" t="s">
        <v>555</v>
      </c>
      <c r="J79" s="653" t="s">
        <v>555</v>
      </c>
      <c r="K79" s="653" t="s">
        <v>555</v>
      </c>
      <c r="L79" s="653" t="s">
        <v>555</v>
      </c>
      <c r="M79" s="653" t="s">
        <v>555</v>
      </c>
      <c r="N79" s="653">
        <f>-'Procesy - AS IS'!N24*N92</f>
        <v>0</v>
      </c>
      <c r="O79" s="653" t="s">
        <v>559</v>
      </c>
      <c r="P79" s="653">
        <f>-'Procesy - AS IS'!P24*P92</f>
        <v>-1.8</v>
      </c>
      <c r="Q79" s="653">
        <f>-'Procesy - AS IS'!Q24*Q92</f>
        <v>0</v>
      </c>
      <c r="R79" s="653">
        <f>-'Procesy - AS IS'!R24*R92</f>
        <v>0</v>
      </c>
      <c r="S79" s="653">
        <f>-'Procesy - AS IS'!S24*S92</f>
        <v>-16</v>
      </c>
      <c r="T79" s="653">
        <f>-'Procesy - AS IS'!T24*T92</f>
        <v>0</v>
      </c>
      <c r="U79" s="653">
        <f>-'Procesy - AS IS'!U24*U92</f>
        <v>0</v>
      </c>
      <c r="V79" s="653">
        <f>-'Procesy - AS IS'!V24*V92</f>
        <v>-2</v>
      </c>
      <c r="W79" s="653">
        <f>-'Procesy - AS IS'!W24*W92</f>
        <v>0</v>
      </c>
      <c r="X79" s="653">
        <f>-'Procesy - AS IS'!X24*X92</f>
        <v>0</v>
      </c>
      <c r="Y79" s="653">
        <f>-'Procesy - AS IS'!Y24*Y92</f>
        <v>0</v>
      </c>
      <c r="Z79" s="653">
        <f>-'Procesy - AS IS'!Z24*Z92</f>
        <v>0</v>
      </c>
      <c r="AA79" s="653">
        <f>-'Procesy - AS IS'!AA24*AA92</f>
        <v>0</v>
      </c>
      <c r="AB79" s="653">
        <f>-'Procesy - AS IS'!AB24*AB92</f>
        <v>0</v>
      </c>
      <c r="AC79" s="653">
        <f>-'Procesy - AS IS'!AC24*AC92</f>
        <v>0</v>
      </c>
      <c r="AD79" s="754"/>
      <c r="AE79" s="754">
        <f>SUM(D79:AC79)</f>
        <v>-25.4</v>
      </c>
      <c r="AF79" s="728">
        <f>AE79/'Procesy - AS IS'!AD24</f>
        <v>-0.38484848484848483</v>
      </c>
      <c r="AG79" s="797">
        <f>'Procesy - AS IS'!AG24/(1+$AF79)-'Procesy - AS IS'!AG24</f>
        <v>2.5024630541871913</v>
      </c>
      <c r="AH79" s="949">
        <f>'Procesy - AS IS'!AH24/(1+$AF79)-'Procesy - AS IS'!AH24</f>
        <v>0</v>
      </c>
      <c r="AI79" s="730">
        <f>'Procesy - AS IS'!AI24/(1+$AF79)-'Procesy - AS IS'!AI24</f>
        <v>0</v>
      </c>
      <c r="AJ79" s="731">
        <f>'Procesy - AS IS'!AJ24/(1+$AF79)-'Procesy - AS IS'!AJ24</f>
        <v>0</v>
      </c>
      <c r="AL79" s="232"/>
      <c r="AZ79" s="227"/>
    </row>
    <row r="80" spans="1:52" hidden="1" outlineLevel="1" x14ac:dyDescent="0.25">
      <c r="A80" s="159"/>
      <c r="B80" s="1358" t="s">
        <v>528</v>
      </c>
      <c r="C80" s="667" t="str">
        <f>'Optimalizačné opatrenia'!$B$2</f>
        <v>Modernizácia</v>
      </c>
      <c r="D80" s="673" t="s">
        <v>530</v>
      </c>
      <c r="E80" s="674" t="s">
        <v>530</v>
      </c>
      <c r="F80" s="703" t="str">
        <f t="shared" ref="F80:F92" si="72">R10</f>
        <v>A</v>
      </c>
      <c r="G80" s="703" t="str">
        <f t="shared" ref="G80:G92" si="73">G10</f>
        <v>A</v>
      </c>
      <c r="H80" s="703"/>
      <c r="I80" s="703"/>
      <c r="J80" s="703"/>
      <c r="K80" s="703"/>
      <c r="L80" s="703"/>
      <c r="M80" s="703"/>
      <c r="N80" s="703" t="s">
        <v>530</v>
      </c>
      <c r="O80" s="703"/>
      <c r="P80" s="703" t="str">
        <f t="shared" ref="P80:R92" si="74">P10</f>
        <v>A</v>
      </c>
      <c r="Q80" s="703" t="str">
        <f t="shared" si="74"/>
        <v>A</v>
      </c>
      <c r="R80" s="703" t="str">
        <f t="shared" si="74"/>
        <v>A</v>
      </c>
      <c r="S80" s="703" t="str">
        <f t="shared" ref="S80:S92" si="75">R80</f>
        <v>A</v>
      </c>
      <c r="T80" s="703" t="str">
        <f t="shared" ref="T80:T92" si="76">R80</f>
        <v>A</v>
      </c>
      <c r="U80" s="703" t="str">
        <f t="shared" ref="U80:U92" si="77">G38</f>
        <v>A</v>
      </c>
      <c r="V80" s="703" t="str">
        <f t="shared" ref="V80:V92" si="78">V10</f>
        <v>A</v>
      </c>
      <c r="W80" s="703" t="str">
        <f t="shared" ref="W80:W92" si="79">G80</f>
        <v>A</v>
      </c>
      <c r="X80" s="703" t="str">
        <f t="shared" ref="X80:X92" si="80">G80</f>
        <v>A</v>
      </c>
      <c r="Y80" s="703" t="str">
        <f t="shared" ref="Y80:Y92" si="81">R80</f>
        <v>A</v>
      </c>
      <c r="Z80" s="703" t="str">
        <f t="shared" ref="Z80:Z92" si="82">R80</f>
        <v>A</v>
      </c>
      <c r="AA80" s="703" t="str">
        <f t="shared" ref="AA80:AA92" si="83">$V80</f>
        <v>A</v>
      </c>
      <c r="AB80" s="703" t="str">
        <f t="shared" ref="AB80:AB92" si="84">G80</f>
        <v>A</v>
      </c>
      <c r="AC80" s="703" t="str">
        <f t="shared" ref="AC80:AC92" si="85">R80</f>
        <v>A</v>
      </c>
      <c r="AD80" s="804"/>
      <c r="AE80" s="804"/>
      <c r="AF80" s="791"/>
      <c r="AG80" s="798"/>
      <c r="AH80" s="928"/>
      <c r="AI80" s="732"/>
      <c r="AJ80" s="733"/>
    </row>
    <row r="81" spans="1:52" hidden="1" outlineLevel="1" x14ac:dyDescent="0.25">
      <c r="A81" s="159"/>
      <c r="B81" s="1359"/>
      <c r="C81" s="667" t="str">
        <f>'Optimalizačné opatrenia'!$B$3</f>
        <v>Sfunkčnenie</v>
      </c>
      <c r="D81" s="718" t="s">
        <v>530</v>
      </c>
      <c r="E81" s="703" t="s">
        <v>530</v>
      </c>
      <c r="F81" s="703" t="str">
        <f t="shared" si="72"/>
        <v>N</v>
      </c>
      <c r="G81" s="703" t="str">
        <f t="shared" si="73"/>
        <v>N</v>
      </c>
      <c r="H81" s="703"/>
      <c r="I81" s="703"/>
      <c r="J81" s="703"/>
      <c r="K81" s="703"/>
      <c r="L81" s="703"/>
      <c r="M81" s="703"/>
      <c r="N81" s="703" t="s">
        <v>530</v>
      </c>
      <c r="O81" s="703"/>
      <c r="P81" s="703" t="str">
        <f t="shared" si="74"/>
        <v>N</v>
      </c>
      <c r="Q81" s="703" t="str">
        <f t="shared" si="74"/>
        <v>N</v>
      </c>
      <c r="R81" s="703" t="str">
        <f t="shared" si="74"/>
        <v>N</v>
      </c>
      <c r="S81" s="703" t="str">
        <f t="shared" si="75"/>
        <v>N</v>
      </c>
      <c r="T81" s="703" t="str">
        <f t="shared" si="76"/>
        <v>N</v>
      </c>
      <c r="U81" s="703" t="str">
        <f t="shared" si="77"/>
        <v>N</v>
      </c>
      <c r="V81" s="703" t="str">
        <f t="shared" si="78"/>
        <v>N</v>
      </c>
      <c r="W81" s="703" t="str">
        <f t="shared" si="79"/>
        <v>N</v>
      </c>
      <c r="X81" s="703" t="str">
        <f t="shared" si="80"/>
        <v>N</v>
      </c>
      <c r="Y81" s="703" t="str">
        <f t="shared" si="81"/>
        <v>N</v>
      </c>
      <c r="Z81" s="703" t="str">
        <f t="shared" si="82"/>
        <v>N</v>
      </c>
      <c r="AA81" s="703" t="str">
        <f t="shared" si="83"/>
        <v>N</v>
      </c>
      <c r="AB81" s="703" t="str">
        <f t="shared" si="84"/>
        <v>N</v>
      </c>
      <c r="AC81" s="703" t="str">
        <f t="shared" si="85"/>
        <v>N</v>
      </c>
      <c r="AD81" s="804"/>
      <c r="AE81" s="804"/>
      <c r="AF81" s="791"/>
      <c r="AG81" s="798"/>
      <c r="AH81" s="928"/>
      <c r="AI81" s="732"/>
      <c r="AJ81" s="733"/>
    </row>
    <row r="82" spans="1:52" hidden="1" outlineLevel="1" x14ac:dyDescent="0.25">
      <c r="A82" s="159"/>
      <c r="B82" s="1359"/>
      <c r="C82" s="667" t="str">
        <f>'Optimalizačné opatrenia'!$B$4</f>
        <v>Zjednotenie</v>
      </c>
      <c r="D82" s="718" t="s">
        <v>530</v>
      </c>
      <c r="E82" s="703" t="s">
        <v>530</v>
      </c>
      <c r="F82" s="703" t="str">
        <f t="shared" si="72"/>
        <v>A</v>
      </c>
      <c r="G82" s="703" t="str">
        <f t="shared" si="73"/>
        <v>A</v>
      </c>
      <c r="H82" s="703"/>
      <c r="I82" s="703"/>
      <c r="J82" s="703"/>
      <c r="K82" s="703"/>
      <c r="L82" s="703"/>
      <c r="M82" s="703"/>
      <c r="N82" s="703" t="s">
        <v>530</v>
      </c>
      <c r="O82" s="703"/>
      <c r="P82" s="703" t="str">
        <f t="shared" si="74"/>
        <v>A</v>
      </c>
      <c r="Q82" s="703" t="str">
        <f t="shared" si="74"/>
        <v>A</v>
      </c>
      <c r="R82" s="703" t="str">
        <f t="shared" si="74"/>
        <v>A</v>
      </c>
      <c r="S82" s="703" t="str">
        <f t="shared" si="75"/>
        <v>A</v>
      </c>
      <c r="T82" s="703" t="str">
        <f t="shared" si="76"/>
        <v>A</v>
      </c>
      <c r="U82" s="703" t="str">
        <f t="shared" si="77"/>
        <v>A</v>
      </c>
      <c r="V82" s="703" t="str">
        <f t="shared" si="78"/>
        <v>A</v>
      </c>
      <c r="W82" s="703" t="str">
        <f t="shared" si="79"/>
        <v>A</v>
      </c>
      <c r="X82" s="703" t="str">
        <f t="shared" si="80"/>
        <v>A</v>
      </c>
      <c r="Y82" s="703" t="str">
        <f t="shared" si="81"/>
        <v>A</v>
      </c>
      <c r="Z82" s="703" t="str">
        <f t="shared" si="82"/>
        <v>A</v>
      </c>
      <c r="AA82" s="703" t="str">
        <f t="shared" si="83"/>
        <v>A</v>
      </c>
      <c r="AB82" s="703" t="str">
        <f t="shared" si="84"/>
        <v>A</v>
      </c>
      <c r="AC82" s="703" t="str">
        <f t="shared" si="85"/>
        <v>A</v>
      </c>
      <c r="AD82" s="804"/>
      <c r="AE82" s="804"/>
      <c r="AF82" s="791"/>
      <c r="AG82" s="798"/>
      <c r="AH82" s="928"/>
      <c r="AI82" s="732"/>
      <c r="AJ82" s="733"/>
    </row>
    <row r="83" spans="1:52" hidden="1" outlineLevel="1" x14ac:dyDescent="0.25">
      <c r="A83" s="159"/>
      <c r="B83" s="1359"/>
      <c r="C83" s="667" t="str">
        <f>'Optimalizačné opatrenia'!$B$5</f>
        <v>Centralizácia</v>
      </c>
      <c r="D83" s="718" t="s">
        <v>530</v>
      </c>
      <c r="E83" s="703" t="s">
        <v>530</v>
      </c>
      <c r="F83" s="703" t="str">
        <f t="shared" si="72"/>
        <v>A</v>
      </c>
      <c r="G83" s="703" t="str">
        <f t="shared" si="73"/>
        <v>A</v>
      </c>
      <c r="H83" s="703"/>
      <c r="I83" s="703"/>
      <c r="J83" s="703"/>
      <c r="K83" s="703"/>
      <c r="L83" s="703"/>
      <c r="M83" s="703"/>
      <c r="N83" s="703" t="s">
        <v>530</v>
      </c>
      <c r="O83" s="703"/>
      <c r="P83" s="703" t="str">
        <f t="shared" si="74"/>
        <v>A</v>
      </c>
      <c r="Q83" s="703" t="str">
        <f t="shared" si="74"/>
        <v>A</v>
      </c>
      <c r="R83" s="703" t="str">
        <f t="shared" si="74"/>
        <v>A</v>
      </c>
      <c r="S83" s="703" t="str">
        <f t="shared" si="75"/>
        <v>A</v>
      </c>
      <c r="T83" s="703" t="str">
        <f t="shared" si="76"/>
        <v>A</v>
      </c>
      <c r="U83" s="703" t="str">
        <f t="shared" si="77"/>
        <v>A</v>
      </c>
      <c r="V83" s="703" t="str">
        <f t="shared" si="78"/>
        <v>A</v>
      </c>
      <c r="W83" s="703" t="str">
        <f t="shared" si="79"/>
        <v>A</v>
      </c>
      <c r="X83" s="703" t="str">
        <f t="shared" si="80"/>
        <v>A</v>
      </c>
      <c r="Y83" s="703" t="str">
        <f t="shared" si="81"/>
        <v>A</v>
      </c>
      <c r="Z83" s="703" t="str">
        <f t="shared" si="82"/>
        <v>A</v>
      </c>
      <c r="AA83" s="703" t="str">
        <f t="shared" si="83"/>
        <v>A</v>
      </c>
      <c r="AB83" s="703" t="str">
        <f t="shared" si="84"/>
        <v>A</v>
      </c>
      <c r="AC83" s="703" t="str">
        <f t="shared" si="85"/>
        <v>A</v>
      </c>
      <c r="AD83" s="804"/>
      <c r="AE83" s="804"/>
      <c r="AF83" s="791"/>
      <c r="AG83" s="798"/>
      <c r="AH83" s="928"/>
      <c r="AI83" s="732"/>
      <c r="AJ83" s="733"/>
    </row>
    <row r="84" spans="1:52" hidden="1" outlineLevel="1" x14ac:dyDescent="0.25">
      <c r="A84" s="159"/>
      <c r="B84" s="1359"/>
      <c r="C84" s="667" t="str">
        <f>'Optimalizačné opatrenia'!$B$6</f>
        <v>Elektronizácia</v>
      </c>
      <c r="D84" s="718" t="s">
        <v>530</v>
      </c>
      <c r="E84" s="703" t="s">
        <v>530</v>
      </c>
      <c r="F84" s="703" t="str">
        <f t="shared" si="72"/>
        <v>A</v>
      </c>
      <c r="G84" s="703" t="str">
        <f t="shared" si="73"/>
        <v>A</v>
      </c>
      <c r="H84" s="703"/>
      <c r="I84" s="703"/>
      <c r="J84" s="703"/>
      <c r="K84" s="703"/>
      <c r="L84" s="703"/>
      <c r="M84" s="703"/>
      <c r="N84" s="703" t="s">
        <v>530</v>
      </c>
      <c r="O84" s="703"/>
      <c r="P84" s="703" t="str">
        <f t="shared" si="74"/>
        <v>A</v>
      </c>
      <c r="Q84" s="703" t="str">
        <f t="shared" si="74"/>
        <v>A</v>
      </c>
      <c r="R84" s="703" t="str">
        <f t="shared" si="74"/>
        <v>A</v>
      </c>
      <c r="S84" s="703" t="str">
        <f t="shared" si="75"/>
        <v>A</v>
      </c>
      <c r="T84" s="703" t="str">
        <f t="shared" si="76"/>
        <v>A</v>
      </c>
      <c r="U84" s="703" t="str">
        <f t="shared" si="77"/>
        <v>A</v>
      </c>
      <c r="V84" s="703" t="str">
        <f t="shared" si="78"/>
        <v>A</v>
      </c>
      <c r="W84" s="703" t="str">
        <f t="shared" si="79"/>
        <v>A</v>
      </c>
      <c r="X84" s="703" t="str">
        <f t="shared" si="80"/>
        <v>A</v>
      </c>
      <c r="Y84" s="703" t="str">
        <f t="shared" si="81"/>
        <v>A</v>
      </c>
      <c r="Z84" s="703" t="str">
        <f t="shared" si="82"/>
        <v>A</v>
      </c>
      <c r="AA84" s="703" t="str">
        <f t="shared" si="83"/>
        <v>A</v>
      </c>
      <c r="AB84" s="703" t="str">
        <f t="shared" si="84"/>
        <v>A</v>
      </c>
      <c r="AC84" s="703" t="str">
        <f t="shared" si="85"/>
        <v>A</v>
      </c>
      <c r="AD84" s="804"/>
      <c r="AE84" s="804"/>
      <c r="AF84" s="791"/>
      <c r="AG84" s="798"/>
      <c r="AH84" s="928"/>
      <c r="AI84" s="732"/>
      <c r="AJ84" s="733"/>
    </row>
    <row r="85" spans="1:52" hidden="1" outlineLevel="1" x14ac:dyDescent="0.25">
      <c r="A85" s="159"/>
      <c r="B85" s="1359"/>
      <c r="C85" s="667" t="str">
        <f>'Optimalizačné opatrenia'!$B$7</f>
        <v>Automatizácia</v>
      </c>
      <c r="D85" s="718" t="s">
        <v>530</v>
      </c>
      <c r="E85" s="703" t="s">
        <v>530</v>
      </c>
      <c r="F85" s="703" t="str">
        <f t="shared" si="72"/>
        <v>A</v>
      </c>
      <c r="G85" s="703" t="str">
        <f t="shared" si="73"/>
        <v>A</v>
      </c>
      <c r="H85" s="703"/>
      <c r="I85" s="703"/>
      <c r="J85" s="703"/>
      <c r="K85" s="703"/>
      <c r="L85" s="703"/>
      <c r="M85" s="703"/>
      <c r="N85" s="703" t="s">
        <v>530</v>
      </c>
      <c r="O85" s="703"/>
      <c r="P85" s="703" t="str">
        <f t="shared" si="74"/>
        <v>A</v>
      </c>
      <c r="Q85" s="703" t="str">
        <f t="shared" si="74"/>
        <v>A</v>
      </c>
      <c r="R85" s="703" t="str">
        <f t="shared" si="74"/>
        <v>A</v>
      </c>
      <c r="S85" s="703" t="str">
        <f t="shared" si="75"/>
        <v>A</v>
      </c>
      <c r="T85" s="703" t="str">
        <f t="shared" si="76"/>
        <v>A</v>
      </c>
      <c r="U85" s="703" t="str">
        <f t="shared" si="77"/>
        <v>A</v>
      </c>
      <c r="V85" s="703" t="str">
        <f t="shared" si="78"/>
        <v>A</v>
      </c>
      <c r="W85" s="703" t="str">
        <f t="shared" si="79"/>
        <v>A</v>
      </c>
      <c r="X85" s="703" t="str">
        <f t="shared" si="80"/>
        <v>A</v>
      </c>
      <c r="Y85" s="703" t="str">
        <f t="shared" si="81"/>
        <v>A</v>
      </c>
      <c r="Z85" s="703" t="str">
        <f t="shared" si="82"/>
        <v>A</v>
      </c>
      <c r="AA85" s="703" t="str">
        <f t="shared" si="83"/>
        <v>A</v>
      </c>
      <c r="AB85" s="703" t="str">
        <f t="shared" si="84"/>
        <v>A</v>
      </c>
      <c r="AC85" s="703" t="str">
        <f t="shared" si="85"/>
        <v>A</v>
      </c>
      <c r="AD85" s="804"/>
      <c r="AE85" s="804"/>
      <c r="AF85" s="791"/>
      <c r="AG85" s="798"/>
      <c r="AH85" s="928"/>
      <c r="AI85" s="732"/>
      <c r="AJ85" s="733"/>
    </row>
    <row r="86" spans="1:52" hidden="1" outlineLevel="1" x14ac:dyDescent="0.25">
      <c r="A86" s="159"/>
      <c r="B86" s="1359"/>
      <c r="C86" s="667" t="str">
        <f>'Optimalizačné opatrenia'!$B$8</f>
        <v>Bezpečnosť</v>
      </c>
      <c r="D86" s="718" t="s">
        <v>530</v>
      </c>
      <c r="E86" s="703" t="s">
        <v>530</v>
      </c>
      <c r="F86" s="703" t="str">
        <f t="shared" si="72"/>
        <v>A</v>
      </c>
      <c r="G86" s="703" t="str">
        <f t="shared" si="73"/>
        <v>A</v>
      </c>
      <c r="H86" s="703"/>
      <c r="I86" s="703"/>
      <c r="J86" s="703"/>
      <c r="K86" s="703"/>
      <c r="L86" s="703"/>
      <c r="M86" s="703"/>
      <c r="N86" s="703" t="s">
        <v>530</v>
      </c>
      <c r="O86" s="703"/>
      <c r="P86" s="703" t="str">
        <f t="shared" si="74"/>
        <v>A</v>
      </c>
      <c r="Q86" s="703" t="str">
        <f t="shared" si="74"/>
        <v>A</v>
      </c>
      <c r="R86" s="703" t="str">
        <f t="shared" si="74"/>
        <v>A</v>
      </c>
      <c r="S86" s="703" t="str">
        <f t="shared" si="75"/>
        <v>A</v>
      </c>
      <c r="T86" s="703" t="str">
        <f t="shared" si="76"/>
        <v>A</v>
      </c>
      <c r="U86" s="703" t="str">
        <f t="shared" si="77"/>
        <v>A</v>
      </c>
      <c r="V86" s="703" t="str">
        <f t="shared" si="78"/>
        <v>A</v>
      </c>
      <c r="W86" s="703" t="str">
        <f t="shared" si="79"/>
        <v>A</v>
      </c>
      <c r="X86" s="703" t="str">
        <f t="shared" si="80"/>
        <v>A</v>
      </c>
      <c r="Y86" s="703" t="str">
        <f t="shared" si="81"/>
        <v>A</v>
      </c>
      <c r="Z86" s="703" t="str">
        <f t="shared" si="82"/>
        <v>A</v>
      </c>
      <c r="AA86" s="703" t="str">
        <f t="shared" si="83"/>
        <v>A</v>
      </c>
      <c r="AB86" s="703" t="str">
        <f t="shared" si="84"/>
        <v>A</v>
      </c>
      <c r="AC86" s="703" t="str">
        <f t="shared" si="85"/>
        <v>A</v>
      </c>
      <c r="AD86" s="804"/>
      <c r="AE86" s="804"/>
      <c r="AF86" s="791"/>
      <c r="AG86" s="798"/>
      <c r="AH86" s="928"/>
      <c r="AI86" s="732"/>
      <c r="AJ86" s="733"/>
    </row>
    <row r="87" spans="1:52" hidden="1" outlineLevel="1" x14ac:dyDescent="0.25">
      <c r="A87" s="159"/>
      <c r="B87" s="1359"/>
      <c r="C87" s="667" t="str">
        <f>'Optimalizačné opatrenia'!$B$9</f>
        <v>Auditovateľnosť</v>
      </c>
      <c r="D87" s="718" t="s">
        <v>530</v>
      </c>
      <c r="E87" s="703" t="s">
        <v>530</v>
      </c>
      <c r="F87" s="703" t="str">
        <f t="shared" si="72"/>
        <v>A</v>
      </c>
      <c r="G87" s="703" t="str">
        <f t="shared" si="73"/>
        <v>A</v>
      </c>
      <c r="H87" s="703"/>
      <c r="I87" s="703"/>
      <c r="J87" s="703"/>
      <c r="K87" s="703"/>
      <c r="L87" s="703"/>
      <c r="M87" s="703"/>
      <c r="N87" s="703" t="s">
        <v>530</v>
      </c>
      <c r="O87" s="703"/>
      <c r="P87" s="703" t="str">
        <f t="shared" si="74"/>
        <v>A</v>
      </c>
      <c r="Q87" s="703" t="str">
        <f t="shared" si="74"/>
        <v>A</v>
      </c>
      <c r="R87" s="703" t="str">
        <f t="shared" si="74"/>
        <v>A</v>
      </c>
      <c r="S87" s="703" t="str">
        <f t="shared" si="75"/>
        <v>A</v>
      </c>
      <c r="T87" s="703" t="str">
        <f t="shared" si="76"/>
        <v>A</v>
      </c>
      <c r="U87" s="703" t="str">
        <f t="shared" si="77"/>
        <v>A</v>
      </c>
      <c r="V87" s="703" t="str">
        <f t="shared" si="78"/>
        <v>A</v>
      </c>
      <c r="W87" s="703" t="str">
        <f t="shared" si="79"/>
        <v>A</v>
      </c>
      <c r="X87" s="703" t="str">
        <f t="shared" si="80"/>
        <v>A</v>
      </c>
      <c r="Y87" s="703" t="str">
        <f t="shared" si="81"/>
        <v>A</v>
      </c>
      <c r="Z87" s="703" t="str">
        <f t="shared" si="82"/>
        <v>A</v>
      </c>
      <c r="AA87" s="703" t="str">
        <f t="shared" si="83"/>
        <v>A</v>
      </c>
      <c r="AB87" s="703" t="str">
        <f t="shared" si="84"/>
        <v>A</v>
      </c>
      <c r="AC87" s="703" t="str">
        <f t="shared" si="85"/>
        <v>A</v>
      </c>
      <c r="AD87" s="804"/>
      <c r="AE87" s="804"/>
      <c r="AF87" s="791"/>
      <c r="AG87" s="798"/>
      <c r="AH87" s="928"/>
      <c r="AI87" s="732"/>
      <c r="AJ87" s="733"/>
    </row>
    <row r="88" spans="1:52" hidden="1" outlineLevel="1" x14ac:dyDescent="0.25">
      <c r="A88" s="159"/>
      <c r="B88" s="1359"/>
      <c r="C88" s="667" t="str">
        <f>'Optimalizačné opatrenia'!$B$10</f>
        <v>Transparentnosť</v>
      </c>
      <c r="D88" s="718" t="s">
        <v>530</v>
      </c>
      <c r="E88" s="703" t="s">
        <v>530</v>
      </c>
      <c r="F88" s="703" t="str">
        <f t="shared" si="72"/>
        <v>N</v>
      </c>
      <c r="G88" s="703" t="str">
        <f t="shared" si="73"/>
        <v>N</v>
      </c>
      <c r="H88" s="703"/>
      <c r="I88" s="703"/>
      <c r="J88" s="703"/>
      <c r="K88" s="703"/>
      <c r="L88" s="703"/>
      <c r="M88" s="703"/>
      <c r="N88" s="703" t="s">
        <v>530</v>
      </c>
      <c r="O88" s="703"/>
      <c r="P88" s="703" t="str">
        <f t="shared" si="74"/>
        <v>A</v>
      </c>
      <c r="Q88" s="703" t="str">
        <f t="shared" si="74"/>
        <v>N</v>
      </c>
      <c r="R88" s="703" t="str">
        <f t="shared" si="74"/>
        <v>N</v>
      </c>
      <c r="S88" s="703" t="str">
        <f t="shared" si="75"/>
        <v>N</v>
      </c>
      <c r="T88" s="703" t="str">
        <f t="shared" si="76"/>
        <v>N</v>
      </c>
      <c r="U88" s="703" t="str">
        <f t="shared" si="77"/>
        <v>N</v>
      </c>
      <c r="V88" s="703" t="str">
        <f t="shared" si="78"/>
        <v>A</v>
      </c>
      <c r="W88" s="703" t="str">
        <f t="shared" si="79"/>
        <v>N</v>
      </c>
      <c r="X88" s="703" t="str">
        <f t="shared" si="80"/>
        <v>N</v>
      </c>
      <c r="Y88" s="703" t="str">
        <f t="shared" si="81"/>
        <v>N</v>
      </c>
      <c r="Z88" s="703" t="str">
        <f t="shared" si="82"/>
        <v>N</v>
      </c>
      <c r="AA88" s="703" t="str">
        <f t="shared" si="83"/>
        <v>A</v>
      </c>
      <c r="AB88" s="703" t="str">
        <f t="shared" si="84"/>
        <v>N</v>
      </c>
      <c r="AC88" s="703" t="str">
        <f t="shared" si="85"/>
        <v>N</v>
      </c>
      <c r="AD88" s="804"/>
      <c r="AE88" s="804"/>
      <c r="AF88" s="791"/>
      <c r="AG88" s="798"/>
      <c r="AH88" s="928"/>
      <c r="AI88" s="732"/>
      <c r="AJ88" s="733"/>
    </row>
    <row r="89" spans="1:52" hidden="1" outlineLevel="1" x14ac:dyDescent="0.25">
      <c r="A89" s="159"/>
      <c r="B89" s="1359"/>
      <c r="C89" s="667" t="str">
        <f>'Optimalizačné opatrenia'!$B$11</f>
        <v>Analyzovatelnosť</v>
      </c>
      <c r="D89" s="718" t="s">
        <v>530</v>
      </c>
      <c r="E89" s="703" t="s">
        <v>530</v>
      </c>
      <c r="F89" s="703" t="str">
        <f t="shared" si="72"/>
        <v>A</v>
      </c>
      <c r="G89" s="703" t="str">
        <f t="shared" si="73"/>
        <v>A</v>
      </c>
      <c r="H89" s="703"/>
      <c r="I89" s="703"/>
      <c r="J89" s="703"/>
      <c r="K89" s="703"/>
      <c r="L89" s="703"/>
      <c r="M89" s="703"/>
      <c r="N89" s="703" t="s">
        <v>530</v>
      </c>
      <c r="O89" s="703"/>
      <c r="P89" s="703" t="str">
        <f t="shared" si="74"/>
        <v>A</v>
      </c>
      <c r="Q89" s="703" t="str">
        <f t="shared" si="74"/>
        <v>A</v>
      </c>
      <c r="R89" s="703" t="str">
        <f t="shared" si="74"/>
        <v>A</v>
      </c>
      <c r="S89" s="703" t="str">
        <f t="shared" si="75"/>
        <v>A</v>
      </c>
      <c r="T89" s="703" t="str">
        <f t="shared" si="76"/>
        <v>A</v>
      </c>
      <c r="U89" s="703" t="str">
        <f t="shared" si="77"/>
        <v>A</v>
      </c>
      <c r="V89" s="703" t="str">
        <f t="shared" si="78"/>
        <v>A</v>
      </c>
      <c r="W89" s="703" t="str">
        <f t="shared" si="79"/>
        <v>A</v>
      </c>
      <c r="X89" s="703" t="str">
        <f t="shared" si="80"/>
        <v>A</v>
      </c>
      <c r="Y89" s="703" t="str">
        <f t="shared" si="81"/>
        <v>A</v>
      </c>
      <c r="Z89" s="703" t="str">
        <f t="shared" si="82"/>
        <v>A</v>
      </c>
      <c r="AA89" s="703" t="str">
        <f t="shared" si="83"/>
        <v>A</v>
      </c>
      <c r="AB89" s="703" t="str">
        <f t="shared" si="84"/>
        <v>A</v>
      </c>
      <c r="AC89" s="703" t="str">
        <f t="shared" si="85"/>
        <v>A</v>
      </c>
      <c r="AD89" s="804"/>
      <c r="AE89" s="804"/>
      <c r="AF89" s="791"/>
      <c r="AG89" s="798"/>
      <c r="AH89" s="928"/>
      <c r="AI89" s="732"/>
      <c r="AJ89" s="733"/>
    </row>
    <row r="90" spans="1:52" hidden="1" outlineLevel="1" x14ac:dyDescent="0.25">
      <c r="A90" s="159"/>
      <c r="B90" s="1359"/>
      <c r="C90" s="667" t="str">
        <f>'Optimalizačné opatrenia'!$B$12</f>
        <v>Integrácia</v>
      </c>
      <c r="D90" s="718" t="s">
        <v>530</v>
      </c>
      <c r="E90" s="703" t="s">
        <v>530</v>
      </c>
      <c r="F90" s="703" t="str">
        <f t="shared" si="72"/>
        <v>A</v>
      </c>
      <c r="G90" s="703" t="str">
        <f t="shared" si="73"/>
        <v>A</v>
      </c>
      <c r="H90" s="703"/>
      <c r="I90" s="703"/>
      <c r="J90" s="703"/>
      <c r="K90" s="703"/>
      <c r="L90" s="703"/>
      <c r="M90" s="703"/>
      <c r="N90" s="703" t="s">
        <v>530</v>
      </c>
      <c r="O90" s="703"/>
      <c r="P90" s="703" t="str">
        <f t="shared" si="74"/>
        <v>A</v>
      </c>
      <c r="Q90" s="703" t="str">
        <f t="shared" si="74"/>
        <v>A</v>
      </c>
      <c r="R90" s="703" t="str">
        <f t="shared" si="74"/>
        <v>A</v>
      </c>
      <c r="S90" s="703" t="str">
        <f t="shared" si="75"/>
        <v>A</v>
      </c>
      <c r="T90" s="703" t="str">
        <f t="shared" si="76"/>
        <v>A</v>
      </c>
      <c r="U90" s="703" t="str">
        <f t="shared" si="77"/>
        <v>A</v>
      </c>
      <c r="V90" s="703" t="str">
        <f t="shared" si="78"/>
        <v>A</v>
      </c>
      <c r="W90" s="703" t="str">
        <f t="shared" si="79"/>
        <v>A</v>
      </c>
      <c r="X90" s="703" t="str">
        <f t="shared" si="80"/>
        <v>A</v>
      </c>
      <c r="Y90" s="703" t="str">
        <f t="shared" si="81"/>
        <v>A</v>
      </c>
      <c r="Z90" s="703" t="str">
        <f t="shared" si="82"/>
        <v>A</v>
      </c>
      <c r="AA90" s="703" t="str">
        <f t="shared" si="83"/>
        <v>A</v>
      </c>
      <c r="AB90" s="703" t="str">
        <f t="shared" si="84"/>
        <v>A</v>
      </c>
      <c r="AC90" s="703" t="str">
        <f t="shared" si="85"/>
        <v>A</v>
      </c>
      <c r="AD90" s="804"/>
      <c r="AE90" s="804"/>
      <c r="AF90" s="791"/>
      <c r="AG90" s="798"/>
      <c r="AH90" s="928"/>
      <c r="AI90" s="732"/>
      <c r="AJ90" s="733"/>
    </row>
    <row r="91" spans="1:52" hidden="1" outlineLevel="1" x14ac:dyDescent="0.25">
      <c r="A91" s="159"/>
      <c r="B91" s="1359"/>
      <c r="C91" s="672" t="str">
        <f>'Optimalizačné opatrenia'!$B$13</f>
        <v>Proaktivita</v>
      </c>
      <c r="D91" s="718" t="s">
        <v>530</v>
      </c>
      <c r="E91" s="703" t="s">
        <v>530</v>
      </c>
      <c r="F91" s="703" t="str">
        <f t="shared" si="72"/>
        <v>A</v>
      </c>
      <c r="G91" s="703" t="str">
        <f t="shared" si="73"/>
        <v>N</v>
      </c>
      <c r="H91" s="703"/>
      <c r="I91" s="703"/>
      <c r="J91" s="703"/>
      <c r="K91" s="703"/>
      <c r="L91" s="703"/>
      <c r="M91" s="703"/>
      <c r="N91" s="703" t="s">
        <v>530</v>
      </c>
      <c r="O91" s="703"/>
      <c r="P91" s="703" t="str">
        <f t="shared" si="74"/>
        <v>N</v>
      </c>
      <c r="Q91" s="703" t="str">
        <f t="shared" si="74"/>
        <v>N</v>
      </c>
      <c r="R91" s="703" t="str">
        <f t="shared" si="74"/>
        <v>A</v>
      </c>
      <c r="S91" s="703" t="str">
        <f t="shared" si="75"/>
        <v>A</v>
      </c>
      <c r="T91" s="703" t="str">
        <f t="shared" si="76"/>
        <v>A</v>
      </c>
      <c r="U91" s="703" t="str">
        <f t="shared" si="77"/>
        <v>N</v>
      </c>
      <c r="V91" s="703" t="str">
        <f t="shared" si="78"/>
        <v>A</v>
      </c>
      <c r="W91" s="703" t="str">
        <f t="shared" si="79"/>
        <v>N</v>
      </c>
      <c r="X91" s="703" t="str">
        <f t="shared" si="80"/>
        <v>N</v>
      </c>
      <c r="Y91" s="703" t="str">
        <f t="shared" si="81"/>
        <v>A</v>
      </c>
      <c r="Z91" s="703" t="str">
        <f t="shared" si="82"/>
        <v>A</v>
      </c>
      <c r="AA91" s="703" t="str">
        <f t="shared" si="83"/>
        <v>A</v>
      </c>
      <c r="AB91" s="703" t="str">
        <f t="shared" si="84"/>
        <v>N</v>
      </c>
      <c r="AC91" s="703" t="str">
        <f t="shared" si="85"/>
        <v>A</v>
      </c>
      <c r="AD91" s="804"/>
      <c r="AE91" s="804"/>
      <c r="AF91" s="791"/>
      <c r="AG91" s="798"/>
      <c r="AH91" s="928"/>
      <c r="AI91" s="732"/>
      <c r="AJ91" s="733"/>
    </row>
    <row r="92" spans="1:52" hidden="1" outlineLevel="1" x14ac:dyDescent="0.25">
      <c r="A92" s="159"/>
      <c r="B92" s="720"/>
      <c r="C92" s="722" t="s">
        <v>538</v>
      </c>
      <c r="D92" s="723">
        <v>0</v>
      </c>
      <c r="E92" s="721">
        <v>0</v>
      </c>
      <c r="F92" s="724">
        <f t="shared" si="72"/>
        <v>0.4</v>
      </c>
      <c r="G92" s="724">
        <f t="shared" si="73"/>
        <v>0.3</v>
      </c>
      <c r="H92" s="724"/>
      <c r="I92" s="724"/>
      <c r="J92" s="724"/>
      <c r="K92" s="724"/>
      <c r="L92" s="724"/>
      <c r="M92" s="724"/>
      <c r="N92" s="724">
        <v>0</v>
      </c>
      <c r="O92" s="724"/>
      <c r="P92" s="724">
        <f t="shared" si="74"/>
        <v>0.45</v>
      </c>
      <c r="Q92" s="724">
        <f t="shared" si="74"/>
        <v>0.3</v>
      </c>
      <c r="R92" s="724">
        <f t="shared" si="74"/>
        <v>0.4</v>
      </c>
      <c r="S92" s="724">
        <f t="shared" si="75"/>
        <v>0.4</v>
      </c>
      <c r="T92" s="724">
        <f t="shared" si="76"/>
        <v>0.4</v>
      </c>
      <c r="U92" s="724">
        <f t="shared" si="77"/>
        <v>0.3</v>
      </c>
      <c r="V92" s="724">
        <f t="shared" si="78"/>
        <v>0.5</v>
      </c>
      <c r="W92" s="724">
        <f t="shared" si="79"/>
        <v>0.3</v>
      </c>
      <c r="X92" s="724">
        <f t="shared" si="80"/>
        <v>0.3</v>
      </c>
      <c r="Y92" s="724">
        <f t="shared" si="81"/>
        <v>0.4</v>
      </c>
      <c r="Z92" s="724">
        <f t="shared" si="82"/>
        <v>0.4</v>
      </c>
      <c r="AA92" s="724">
        <f t="shared" si="83"/>
        <v>0.5</v>
      </c>
      <c r="AB92" s="724">
        <f t="shared" si="84"/>
        <v>0.3</v>
      </c>
      <c r="AC92" s="724">
        <f t="shared" si="85"/>
        <v>0.4</v>
      </c>
      <c r="AD92" s="805"/>
      <c r="AE92" s="805"/>
      <c r="AF92" s="792"/>
      <c r="AG92" s="799"/>
      <c r="AH92" s="929"/>
      <c r="AI92" s="735"/>
      <c r="AJ92" s="736"/>
    </row>
    <row r="93" spans="1:52" ht="15.75" collapsed="1" thickBot="1" x14ac:dyDescent="0.3">
      <c r="A93" s="159"/>
      <c r="B93" s="741"/>
      <c r="C93" s="742" t="s">
        <v>588</v>
      </c>
      <c r="D93" s="743"/>
      <c r="E93" s="743"/>
      <c r="F93" s="743"/>
      <c r="G93" s="744"/>
      <c r="H93" s="744"/>
      <c r="I93" s="744"/>
      <c r="J93" s="744"/>
      <c r="K93" s="744"/>
      <c r="L93" s="744"/>
      <c r="M93" s="744"/>
      <c r="N93" s="744"/>
      <c r="O93" s="744"/>
      <c r="P93" s="744"/>
      <c r="Q93" s="744"/>
      <c r="R93" s="744"/>
      <c r="S93" s="744"/>
      <c r="T93" s="744"/>
      <c r="U93" s="744"/>
      <c r="V93" s="744"/>
      <c r="W93" s="744"/>
      <c r="X93" s="744"/>
      <c r="Y93" s="744"/>
      <c r="Z93" s="744"/>
      <c r="AA93" s="744"/>
      <c r="AB93" s="744"/>
      <c r="AC93" s="744"/>
      <c r="AD93" s="751"/>
      <c r="AE93" s="751"/>
      <c r="AF93" s="793"/>
      <c r="AG93" s="800">
        <f>'Procesy - AS IS'!AG25/(1+$AF8)-'Procesy - AS IS'!AG25</f>
        <v>0</v>
      </c>
      <c r="AH93" s="930">
        <f>'Procesy - AS IS'!AH25/(1+$AF8)-'Procesy - AS IS'!AH25</f>
        <v>0</v>
      </c>
      <c r="AI93" s="746">
        <f>'Procesy - AS IS'!AI25/(1+$AF8)-'Procesy - AS IS'!AI25</f>
        <v>0</v>
      </c>
      <c r="AJ93" s="747">
        <f>'Procesy - AS IS'!AJ25/(1+$AF8)-'Procesy - AS IS'!AJ25</f>
        <v>0</v>
      </c>
    </row>
    <row r="94" spans="1:52" x14ac:dyDescent="0.25">
      <c r="A94" s="159"/>
      <c r="B94" s="657" t="s">
        <v>533</v>
      </c>
      <c r="C94" s="658" t="s">
        <v>514</v>
      </c>
      <c r="D94" s="726">
        <f>D95*$AG95/($AG94-$AG193)+D109*$AG109/($AG94-$AG193)+D123*$AG123/($AG94-$AG193)+D137*$AG137/($AG94-$AG193)+D151*$AG151/($AG94-$AG193)+D165*$AG165/($AG94-$AG193)+D179*$AG179/($AG94-$AG193)</f>
        <v>0</v>
      </c>
      <c r="E94" s="651">
        <f>E95*$AG95/($AG94-$AG193)+E109*$AG109/($AG94-$AG193)+E123*$AG123/($AG94-$AG193)+E137*$AG137/($AG94-$AG193)+E151*$AG151/($AG94-$AG193)+E165*$AG165/($AG94-$AG193)+E179*$AG179/($AG94-$AG193)</f>
        <v>0</v>
      </c>
      <c r="F94" s="651">
        <f>F95*$AG95/($AG94-$AG193)+F109*$AG109/($AG94-$AG193)+F123*$AG123/($AG94-$AG193)+F137*$AG137/($AG94-$AG193)+F151*$AG151/($AG94-$AG193)+F165*$AG165/($AG94-$AG193)+F179*$AG179/($AG94-$AG193)</f>
        <v>0</v>
      </c>
      <c r="G94" s="661">
        <f>G95*$AG95/($AG94-$AG193)+G109*$AG109/($AG94-$AG193)+G123*$AG123/($AG94-$AG193)+G137*$AG137/($AG94-$AG193)+G151*$AG151/($AG94-$AG193)+G165*$AG165/($AG94-$AG193)+G179*$AG179/($AG94-$AG193)</f>
        <v>-2.7361369682982697</v>
      </c>
      <c r="H94" s="654"/>
      <c r="I94" s="654"/>
      <c r="J94" s="654"/>
      <c r="K94" s="654"/>
      <c r="L94" s="661">
        <f>L95*$AG95/($AG94-$AG193)+L109*$AG109/($AG94-$AG193)+L123*$AG123/($AG94-$AG193)+L137*$AG137/($AG94-$AG193)+L151*$AG151/($AG94-$AG193)+L165*$AG165/($AG94-$AG193)+L179*$AG179/($AG94-$AG193)</f>
        <v>-9.9999999999999978E-2</v>
      </c>
      <c r="M94" s="661">
        <f>M95*$AG95/($AG94-$AG193)+M109*$AG109/($AG94-$AG193)+M123*$AG123/($AG94-$AG193)+M137*$AG137/($AG94-$AG193)+M151*$AG151/($AG94-$AG193)+M165*$AG165/($AG94-$AG193)+M179*$AG179/($AG94-$AG193)</f>
        <v>-0.98823259316762679</v>
      </c>
      <c r="N94" s="651">
        <f>N95*$AG95/($AG94-$AG193)+N109*$AG109/($AG94-$AG193)+N123*$AG123/($AG94-$AG193)+N137*$AG137/($AG94-$AG193)+N151*$AG151/($AG94-$AG193)+N165*$AG165/($AG94-$AG193)+N179*$AG179/($AG94-$AG193)</f>
        <v>0</v>
      </c>
      <c r="O94" s="651"/>
      <c r="P94" s="651">
        <f t="shared" ref="P94:AC94" si="86">P95*$AG95/($AG94-$AG193)+P109*$AG109/($AG94-$AG193)+P123*$AG123/($AG94-$AG193)+P137*$AG137/($AG94-$AG193)+P151*$AG151/($AG94-$AG193)+P165*$AG165/($AG94-$AG193)+P179*$AG179/($AG94-$AG193)</f>
        <v>-0.44999999999999996</v>
      </c>
      <c r="Q94" s="651">
        <f t="shared" si="86"/>
        <v>0</v>
      </c>
      <c r="R94" s="651">
        <f t="shared" si="86"/>
        <v>-1.5107063043601612</v>
      </c>
      <c r="S94" s="651">
        <f t="shared" si="86"/>
        <v>-5.5565664681849727</v>
      </c>
      <c r="T94" s="651">
        <f t="shared" si="86"/>
        <v>-0.51780547460189807</v>
      </c>
      <c r="U94" s="651">
        <f t="shared" si="86"/>
        <v>-2.0116458940485762</v>
      </c>
      <c r="V94" s="651">
        <f t="shared" si="86"/>
        <v>-0.36760010673189153</v>
      </c>
      <c r="W94" s="651">
        <f t="shared" si="86"/>
        <v>-8.697848618659007E-2</v>
      </c>
      <c r="X94" s="651">
        <f t="shared" si="86"/>
        <v>0</v>
      </c>
      <c r="Y94" s="651">
        <f t="shared" si="86"/>
        <v>-0.92777051932362742</v>
      </c>
      <c r="Z94" s="651">
        <f t="shared" si="86"/>
        <v>-1.6078433454608399E-2</v>
      </c>
      <c r="AA94" s="651">
        <f t="shared" si="86"/>
        <v>-4.0196083636520996E-2</v>
      </c>
      <c r="AB94" s="651">
        <f t="shared" si="86"/>
        <v>-0.20657510961171963</v>
      </c>
      <c r="AC94" s="652">
        <f t="shared" si="86"/>
        <v>-0.49608013038079829</v>
      </c>
      <c r="AD94" s="752"/>
      <c r="AE94" s="752">
        <f>SUM(AE95:AE179)</f>
        <v>-108.64966314387367</v>
      </c>
      <c r="AF94" s="790">
        <f>-SUM(AG95:AG192)/('Procesy - AS IS'!AG26+SUM(AG95:AG192))</f>
        <v>-0.3084658434704694</v>
      </c>
      <c r="AG94" s="801">
        <f>SUM(AG95:AG193)</f>
        <v>286.81668935472453</v>
      </c>
      <c r="AH94" s="931">
        <f>SUM(AH95:AH193)</f>
        <v>55.264281842666733</v>
      </c>
      <c r="AI94" s="737">
        <f>SUM(AI95:AI193)</f>
        <v>49.443871927296044</v>
      </c>
      <c r="AJ94" s="738">
        <f>SUM(AJ95:AJ193)</f>
        <v>10.103124295039041</v>
      </c>
      <c r="AL94" s="232"/>
      <c r="AM94"/>
      <c r="AZ94" s="227"/>
    </row>
    <row r="95" spans="1:52" ht="30" x14ac:dyDescent="0.25">
      <c r="A95" s="159">
        <f ca="1">OFFSET(A95,-16,0)+1</f>
        <v>7</v>
      </c>
      <c r="B95" s="668" t="str">
        <f ca="1">'Procesy - AS IS'!B27</f>
        <v>Meranie č. 7</v>
      </c>
      <c r="C95" s="671" t="str">
        <f>'Procesy - AS IS'!C27</f>
        <v>Modelovaný spis kontroly veľkého zdroja diskusiou s inšpektorom</v>
      </c>
      <c r="D95" s="726">
        <f>-'Procesy - AS IS'!D29*D108</f>
        <v>0</v>
      </c>
      <c r="E95" s="653">
        <f>-'Procesy - AS IS'!E29*E108</f>
        <v>0</v>
      </c>
      <c r="F95" s="653">
        <f>-'Procesy - AS IS'!F29*F108</f>
        <v>0</v>
      </c>
      <c r="G95" s="653">
        <f>-'Procesy - AS IS'!G29*G108</f>
        <v>-3.5999999999999996</v>
      </c>
      <c r="H95" s="653" t="s">
        <v>555</v>
      </c>
      <c r="I95" s="653" t="s">
        <v>555</v>
      </c>
      <c r="J95" s="653" t="s">
        <v>555</v>
      </c>
      <c r="K95" s="653" t="s">
        <v>555</v>
      </c>
      <c r="L95" s="653">
        <f>-'Procesy - AS IS'!L29*L108</f>
        <v>-0.1</v>
      </c>
      <c r="M95" s="653">
        <f>-'Procesy - AS IS'!M29*M108</f>
        <v>-0.89999999999999991</v>
      </c>
      <c r="N95" s="653">
        <f>-'Procesy - AS IS'!N29*N108</f>
        <v>0</v>
      </c>
      <c r="O95" s="653" t="s">
        <v>559</v>
      </c>
      <c r="P95" s="653">
        <f>-'Procesy - AS IS'!P29*P108</f>
        <v>-0.45</v>
      </c>
      <c r="Q95" s="653">
        <f>-'Procesy - AS IS'!Q29*Q108</f>
        <v>0</v>
      </c>
      <c r="R95" s="653">
        <f>-'Procesy - AS IS'!R29*R108</f>
        <v>-3.5657142857142858</v>
      </c>
      <c r="S95" s="653">
        <f>-'Procesy - AS IS'!S29*S108</f>
        <v>-6.8342857142857145</v>
      </c>
      <c r="T95" s="653">
        <f>-'Procesy - AS IS'!T29*T108</f>
        <v>-1.0971428571428572</v>
      </c>
      <c r="U95" s="653">
        <f>-'Procesy - AS IS'!U29*U108</f>
        <v>-1.5771428571428572</v>
      </c>
      <c r="V95" s="653">
        <f>-'Procesy - AS IS'!V29*V108</f>
        <v>-0.25</v>
      </c>
      <c r="W95" s="653">
        <f>-'Procesy - AS IS'!W29*W108</f>
        <v>-0.18857142857142856</v>
      </c>
      <c r="X95" s="653">
        <f>-'Procesy - AS IS'!X29*X108</f>
        <v>0</v>
      </c>
      <c r="Y95" s="653">
        <f>-'Procesy - AS IS'!Y29*Y108</f>
        <v>-2.0114285714285716</v>
      </c>
      <c r="Z95" s="653">
        <f>-'Procesy - AS IS'!Z29*Z108</f>
        <v>-2.2857142857142857E-2</v>
      </c>
      <c r="AA95" s="653">
        <f>-'Procesy - AS IS'!AA29*AA108</f>
        <v>-5.7142857142857141E-2</v>
      </c>
      <c r="AB95" s="653">
        <f>-'Procesy - AS IS'!AB29*AB108</f>
        <v>-0.3428571428571428</v>
      </c>
      <c r="AC95" s="653">
        <f>-'Procesy - AS IS'!AC29*AC108</f>
        <v>-0.91428571428571426</v>
      </c>
      <c r="AD95" s="754"/>
      <c r="AE95" s="754">
        <f>SUM(D95:AC95)</f>
        <v>-21.911428571428569</v>
      </c>
      <c r="AF95" s="728">
        <f>AE95/'Procesy - AS IS'!AD29</f>
        <v>-0.36514700630877273</v>
      </c>
      <c r="AG95" s="797">
        <f>'Procesy - AS IS'!AG29/(1+$AF95)-'Procesy - AS IS'!AG29</f>
        <v>20.130873364082944</v>
      </c>
      <c r="AH95" s="927">
        <f>'Procesy - AS IS'!AH29/(1+$AF95)-'Procesy - AS IS'!AH29</f>
        <v>6.9020137248284392</v>
      </c>
      <c r="AI95" s="730">
        <f>'Procesy - AS IS'!AI29/(1+$AF95)-'Procesy - AS IS'!AI29</f>
        <v>6.3268459144260696</v>
      </c>
      <c r="AJ95" s="731">
        <f>'Procesy - AS IS'!AJ29/(1+$AF95)-'Procesy - AS IS'!AJ29</f>
        <v>1.1503356208047397</v>
      </c>
      <c r="AL95" s="232"/>
      <c r="AZ95" s="227"/>
    </row>
    <row r="96" spans="1:52" hidden="1" outlineLevel="1" x14ac:dyDescent="0.25">
      <c r="A96" s="159"/>
      <c r="B96" s="1358" t="s">
        <v>528</v>
      </c>
      <c r="C96" s="667" t="str">
        <f>'Optimalizačné opatrenia'!$B$2</f>
        <v>Modernizácia</v>
      </c>
      <c r="D96" s="718" t="s">
        <v>530</v>
      </c>
      <c r="E96" s="703" t="s">
        <v>530</v>
      </c>
      <c r="F96" s="703" t="s">
        <v>530</v>
      </c>
      <c r="G96" s="703" t="str">
        <f t="shared" ref="G96:G108" si="87">G80</f>
        <v>A</v>
      </c>
      <c r="H96" s="703"/>
      <c r="I96" s="703"/>
      <c r="J96" s="703"/>
      <c r="K96" s="703"/>
      <c r="L96" s="703" t="str">
        <f t="shared" ref="L96:L108" si="88">R10</f>
        <v>A</v>
      </c>
      <c r="M96" s="703" t="str">
        <f t="shared" ref="M96:M108" si="89">G96</f>
        <v>A</v>
      </c>
      <c r="N96" s="703" t="s">
        <v>530</v>
      </c>
      <c r="O96" s="703"/>
      <c r="P96" s="703" t="str">
        <f t="shared" ref="P96:R108" si="90">P10</f>
        <v>A</v>
      </c>
      <c r="Q96" s="703" t="str">
        <f t="shared" si="90"/>
        <v>A</v>
      </c>
      <c r="R96" s="703" t="str">
        <f t="shared" si="90"/>
        <v>A</v>
      </c>
      <c r="S96" s="703" t="str">
        <f t="shared" ref="S96:S108" si="91">R96</f>
        <v>A</v>
      </c>
      <c r="T96" s="703" t="str">
        <f t="shared" ref="T96:T108" si="92">R96</f>
        <v>A</v>
      </c>
      <c r="U96" s="703" t="str">
        <f t="shared" ref="U96:U108" si="93">G96</f>
        <v>A</v>
      </c>
      <c r="V96" s="703" t="str">
        <f t="shared" ref="V96:X108" si="94">V10</f>
        <v>A</v>
      </c>
      <c r="W96" s="703" t="str">
        <f t="shared" si="94"/>
        <v>A</v>
      </c>
      <c r="X96" s="703" t="str">
        <f t="shared" si="94"/>
        <v>A</v>
      </c>
      <c r="Y96" s="703" t="str">
        <f t="shared" ref="Y96:Y108" si="95">R96</f>
        <v>A</v>
      </c>
      <c r="Z96" s="703" t="str">
        <f t="shared" ref="Z96:Z108" si="96">R96</f>
        <v>A</v>
      </c>
      <c r="AA96" s="703" t="str">
        <f t="shared" ref="AA96:AA108" si="97">$V96</f>
        <v>A</v>
      </c>
      <c r="AB96" s="703" t="str">
        <f t="shared" ref="AB96:AB108" si="98">G96</f>
        <v>A</v>
      </c>
      <c r="AC96" s="703" t="str">
        <f t="shared" ref="AC96:AC108" si="99">R96</f>
        <v>A</v>
      </c>
      <c r="AD96" s="804"/>
      <c r="AE96" s="804"/>
      <c r="AF96" s="791"/>
      <c r="AG96" s="798"/>
      <c r="AH96" s="928"/>
      <c r="AI96" s="732"/>
      <c r="AJ96" s="733"/>
    </row>
    <row r="97" spans="1:52" hidden="1" outlineLevel="1" x14ac:dyDescent="0.25">
      <c r="A97" s="159"/>
      <c r="B97" s="1359"/>
      <c r="C97" s="667" t="str">
        <f>'Optimalizačné opatrenia'!$B$3</f>
        <v>Sfunkčnenie</v>
      </c>
      <c r="D97" s="718" t="s">
        <v>530</v>
      </c>
      <c r="E97" s="703" t="s">
        <v>530</v>
      </c>
      <c r="F97" s="703" t="s">
        <v>530</v>
      </c>
      <c r="G97" s="703" t="str">
        <f t="shared" si="87"/>
        <v>N</v>
      </c>
      <c r="H97" s="703"/>
      <c r="I97" s="703"/>
      <c r="J97" s="703"/>
      <c r="K97" s="703"/>
      <c r="L97" s="703" t="str">
        <f t="shared" si="88"/>
        <v>N</v>
      </c>
      <c r="M97" s="703" t="str">
        <f t="shared" si="89"/>
        <v>N</v>
      </c>
      <c r="N97" s="703" t="s">
        <v>530</v>
      </c>
      <c r="O97" s="703"/>
      <c r="P97" s="703" t="str">
        <f t="shared" si="90"/>
        <v>N</v>
      </c>
      <c r="Q97" s="703" t="str">
        <f t="shared" si="90"/>
        <v>N</v>
      </c>
      <c r="R97" s="703" t="str">
        <f t="shared" si="90"/>
        <v>N</v>
      </c>
      <c r="S97" s="703" t="str">
        <f t="shared" si="91"/>
        <v>N</v>
      </c>
      <c r="T97" s="703" t="str">
        <f t="shared" si="92"/>
        <v>N</v>
      </c>
      <c r="U97" s="703" t="str">
        <f t="shared" si="93"/>
        <v>N</v>
      </c>
      <c r="V97" s="703" t="str">
        <f t="shared" si="94"/>
        <v>N</v>
      </c>
      <c r="W97" s="703" t="str">
        <f t="shared" si="94"/>
        <v>N</v>
      </c>
      <c r="X97" s="703" t="str">
        <f t="shared" si="94"/>
        <v>N</v>
      </c>
      <c r="Y97" s="703" t="str">
        <f t="shared" si="95"/>
        <v>N</v>
      </c>
      <c r="Z97" s="703" t="str">
        <f t="shared" si="96"/>
        <v>N</v>
      </c>
      <c r="AA97" s="703" t="str">
        <f t="shared" si="97"/>
        <v>N</v>
      </c>
      <c r="AB97" s="703" t="str">
        <f t="shared" si="98"/>
        <v>N</v>
      </c>
      <c r="AC97" s="703" t="str">
        <f t="shared" si="99"/>
        <v>N</v>
      </c>
      <c r="AD97" s="804"/>
      <c r="AE97" s="804"/>
      <c r="AF97" s="791"/>
      <c r="AG97" s="798"/>
      <c r="AH97" s="928"/>
      <c r="AI97" s="732"/>
      <c r="AJ97" s="733"/>
    </row>
    <row r="98" spans="1:52" hidden="1" outlineLevel="1" x14ac:dyDescent="0.25">
      <c r="A98" s="159"/>
      <c r="B98" s="1359"/>
      <c r="C98" s="667" t="str">
        <f>'Optimalizačné opatrenia'!$B$4</f>
        <v>Zjednotenie</v>
      </c>
      <c r="D98" s="718" t="s">
        <v>530</v>
      </c>
      <c r="E98" s="703" t="s">
        <v>530</v>
      </c>
      <c r="F98" s="703" t="s">
        <v>530</v>
      </c>
      <c r="G98" s="703" t="str">
        <f t="shared" si="87"/>
        <v>A</v>
      </c>
      <c r="H98" s="703"/>
      <c r="I98" s="703"/>
      <c r="J98" s="703"/>
      <c r="K98" s="703"/>
      <c r="L98" s="703" t="str">
        <f t="shared" si="88"/>
        <v>A</v>
      </c>
      <c r="M98" s="703" t="str">
        <f t="shared" si="89"/>
        <v>A</v>
      </c>
      <c r="N98" s="703" t="s">
        <v>530</v>
      </c>
      <c r="O98" s="703"/>
      <c r="P98" s="703" t="str">
        <f t="shared" si="90"/>
        <v>A</v>
      </c>
      <c r="Q98" s="703" t="str">
        <f t="shared" si="90"/>
        <v>A</v>
      </c>
      <c r="R98" s="703" t="str">
        <f t="shared" si="90"/>
        <v>A</v>
      </c>
      <c r="S98" s="703" t="str">
        <f t="shared" si="91"/>
        <v>A</v>
      </c>
      <c r="T98" s="703" t="str">
        <f t="shared" si="92"/>
        <v>A</v>
      </c>
      <c r="U98" s="703" t="str">
        <f t="shared" si="93"/>
        <v>A</v>
      </c>
      <c r="V98" s="703" t="str">
        <f t="shared" si="94"/>
        <v>A</v>
      </c>
      <c r="W98" s="703" t="str">
        <f t="shared" si="94"/>
        <v>A</v>
      </c>
      <c r="X98" s="703" t="str">
        <f t="shared" si="94"/>
        <v>A</v>
      </c>
      <c r="Y98" s="703" t="str">
        <f t="shared" si="95"/>
        <v>A</v>
      </c>
      <c r="Z98" s="703" t="str">
        <f t="shared" si="96"/>
        <v>A</v>
      </c>
      <c r="AA98" s="703" t="str">
        <f t="shared" si="97"/>
        <v>A</v>
      </c>
      <c r="AB98" s="703" t="str">
        <f t="shared" si="98"/>
        <v>A</v>
      </c>
      <c r="AC98" s="703" t="str">
        <f t="shared" si="99"/>
        <v>A</v>
      </c>
      <c r="AD98" s="804"/>
      <c r="AE98" s="804"/>
      <c r="AF98" s="791"/>
      <c r="AG98" s="798"/>
      <c r="AH98" s="928"/>
      <c r="AI98" s="732"/>
      <c r="AJ98" s="733"/>
    </row>
    <row r="99" spans="1:52" hidden="1" outlineLevel="1" x14ac:dyDescent="0.25">
      <c r="A99" s="159"/>
      <c r="B99" s="1359"/>
      <c r="C99" s="667" t="str">
        <f>'Optimalizačné opatrenia'!$B$5</f>
        <v>Centralizácia</v>
      </c>
      <c r="D99" s="718" t="s">
        <v>530</v>
      </c>
      <c r="E99" s="703" t="s">
        <v>530</v>
      </c>
      <c r="F99" s="703" t="s">
        <v>530</v>
      </c>
      <c r="G99" s="703" t="str">
        <f t="shared" si="87"/>
        <v>A</v>
      </c>
      <c r="H99" s="703"/>
      <c r="I99" s="703"/>
      <c r="J99" s="703"/>
      <c r="K99" s="703"/>
      <c r="L99" s="703" t="str">
        <f t="shared" si="88"/>
        <v>A</v>
      </c>
      <c r="M99" s="703" t="str">
        <f t="shared" si="89"/>
        <v>A</v>
      </c>
      <c r="N99" s="703" t="s">
        <v>530</v>
      </c>
      <c r="O99" s="703"/>
      <c r="P99" s="703" t="str">
        <f t="shared" si="90"/>
        <v>A</v>
      </c>
      <c r="Q99" s="703" t="str">
        <f t="shared" si="90"/>
        <v>A</v>
      </c>
      <c r="R99" s="703" t="str">
        <f t="shared" si="90"/>
        <v>A</v>
      </c>
      <c r="S99" s="703" t="str">
        <f t="shared" si="91"/>
        <v>A</v>
      </c>
      <c r="T99" s="703" t="str">
        <f t="shared" si="92"/>
        <v>A</v>
      </c>
      <c r="U99" s="703" t="str">
        <f t="shared" si="93"/>
        <v>A</v>
      </c>
      <c r="V99" s="703" t="str">
        <f t="shared" si="94"/>
        <v>A</v>
      </c>
      <c r="W99" s="703" t="str">
        <f t="shared" si="94"/>
        <v>A</v>
      </c>
      <c r="X99" s="703" t="str">
        <f t="shared" si="94"/>
        <v>A</v>
      </c>
      <c r="Y99" s="703" t="str">
        <f t="shared" si="95"/>
        <v>A</v>
      </c>
      <c r="Z99" s="703" t="str">
        <f t="shared" si="96"/>
        <v>A</v>
      </c>
      <c r="AA99" s="703" t="str">
        <f t="shared" si="97"/>
        <v>A</v>
      </c>
      <c r="AB99" s="703" t="str">
        <f t="shared" si="98"/>
        <v>A</v>
      </c>
      <c r="AC99" s="703" t="str">
        <f t="shared" si="99"/>
        <v>A</v>
      </c>
      <c r="AD99" s="804"/>
      <c r="AE99" s="804"/>
      <c r="AF99" s="791"/>
      <c r="AG99" s="798"/>
      <c r="AH99" s="928"/>
      <c r="AI99" s="732"/>
      <c r="AJ99" s="733"/>
    </row>
    <row r="100" spans="1:52" hidden="1" outlineLevel="1" x14ac:dyDescent="0.25">
      <c r="A100" s="159"/>
      <c r="B100" s="1359"/>
      <c r="C100" s="667" t="str">
        <f>'Optimalizačné opatrenia'!$B$6</f>
        <v>Elektronizácia</v>
      </c>
      <c r="D100" s="718" t="s">
        <v>530</v>
      </c>
      <c r="E100" s="703" t="s">
        <v>530</v>
      </c>
      <c r="F100" s="703" t="s">
        <v>530</v>
      </c>
      <c r="G100" s="703" t="str">
        <f t="shared" si="87"/>
        <v>A</v>
      </c>
      <c r="H100" s="703"/>
      <c r="I100" s="703"/>
      <c r="J100" s="703"/>
      <c r="K100" s="703"/>
      <c r="L100" s="703" t="str">
        <f t="shared" si="88"/>
        <v>A</v>
      </c>
      <c r="M100" s="703" t="str">
        <f t="shared" si="89"/>
        <v>A</v>
      </c>
      <c r="N100" s="703" t="s">
        <v>530</v>
      </c>
      <c r="O100" s="703"/>
      <c r="P100" s="703" t="str">
        <f t="shared" si="90"/>
        <v>A</v>
      </c>
      <c r="Q100" s="703" t="str">
        <f t="shared" si="90"/>
        <v>A</v>
      </c>
      <c r="R100" s="703" t="str">
        <f t="shared" si="90"/>
        <v>A</v>
      </c>
      <c r="S100" s="703" t="str">
        <f t="shared" si="91"/>
        <v>A</v>
      </c>
      <c r="T100" s="703" t="str">
        <f t="shared" si="92"/>
        <v>A</v>
      </c>
      <c r="U100" s="703" t="str">
        <f t="shared" si="93"/>
        <v>A</v>
      </c>
      <c r="V100" s="703" t="str">
        <f t="shared" si="94"/>
        <v>A</v>
      </c>
      <c r="W100" s="703" t="str">
        <f t="shared" si="94"/>
        <v>A</v>
      </c>
      <c r="X100" s="703" t="str">
        <f t="shared" si="94"/>
        <v>A</v>
      </c>
      <c r="Y100" s="703" t="str">
        <f t="shared" si="95"/>
        <v>A</v>
      </c>
      <c r="Z100" s="703" t="str">
        <f t="shared" si="96"/>
        <v>A</v>
      </c>
      <c r="AA100" s="703" t="str">
        <f t="shared" si="97"/>
        <v>A</v>
      </c>
      <c r="AB100" s="703" t="str">
        <f t="shared" si="98"/>
        <v>A</v>
      </c>
      <c r="AC100" s="703" t="str">
        <f t="shared" si="99"/>
        <v>A</v>
      </c>
      <c r="AD100" s="804"/>
      <c r="AE100" s="804"/>
      <c r="AF100" s="791"/>
      <c r="AG100" s="798"/>
      <c r="AH100" s="928"/>
      <c r="AI100" s="732"/>
      <c r="AJ100" s="733"/>
    </row>
    <row r="101" spans="1:52" hidden="1" outlineLevel="1" x14ac:dyDescent="0.25">
      <c r="A101" s="159"/>
      <c r="B101" s="1359"/>
      <c r="C101" s="667" t="str">
        <f>'Optimalizačné opatrenia'!$B$7</f>
        <v>Automatizácia</v>
      </c>
      <c r="D101" s="718" t="s">
        <v>530</v>
      </c>
      <c r="E101" s="703" t="s">
        <v>530</v>
      </c>
      <c r="F101" s="703" t="s">
        <v>530</v>
      </c>
      <c r="G101" s="703" t="str">
        <f t="shared" si="87"/>
        <v>A</v>
      </c>
      <c r="H101" s="703"/>
      <c r="I101" s="703"/>
      <c r="J101" s="703"/>
      <c r="K101" s="703"/>
      <c r="L101" s="703" t="str">
        <f t="shared" si="88"/>
        <v>A</v>
      </c>
      <c r="M101" s="703" t="str">
        <f t="shared" si="89"/>
        <v>A</v>
      </c>
      <c r="N101" s="703" t="s">
        <v>530</v>
      </c>
      <c r="O101" s="703"/>
      <c r="P101" s="703" t="str">
        <f t="shared" si="90"/>
        <v>A</v>
      </c>
      <c r="Q101" s="703" t="str">
        <f t="shared" si="90"/>
        <v>A</v>
      </c>
      <c r="R101" s="703" t="str">
        <f t="shared" si="90"/>
        <v>A</v>
      </c>
      <c r="S101" s="703" t="str">
        <f t="shared" si="91"/>
        <v>A</v>
      </c>
      <c r="T101" s="703" t="str">
        <f t="shared" si="92"/>
        <v>A</v>
      </c>
      <c r="U101" s="703" t="str">
        <f t="shared" si="93"/>
        <v>A</v>
      </c>
      <c r="V101" s="703" t="str">
        <f t="shared" si="94"/>
        <v>A</v>
      </c>
      <c r="W101" s="703" t="str">
        <f t="shared" si="94"/>
        <v>A</v>
      </c>
      <c r="X101" s="703" t="str">
        <f t="shared" si="94"/>
        <v>A</v>
      </c>
      <c r="Y101" s="703" t="str">
        <f t="shared" si="95"/>
        <v>A</v>
      </c>
      <c r="Z101" s="703" t="str">
        <f t="shared" si="96"/>
        <v>A</v>
      </c>
      <c r="AA101" s="703" t="str">
        <f t="shared" si="97"/>
        <v>A</v>
      </c>
      <c r="AB101" s="703" t="str">
        <f t="shared" si="98"/>
        <v>A</v>
      </c>
      <c r="AC101" s="703" t="str">
        <f t="shared" si="99"/>
        <v>A</v>
      </c>
      <c r="AD101" s="804"/>
      <c r="AE101" s="804"/>
      <c r="AF101" s="791"/>
      <c r="AG101" s="798"/>
      <c r="AH101" s="928"/>
      <c r="AI101" s="732"/>
      <c r="AJ101" s="733"/>
    </row>
    <row r="102" spans="1:52" hidden="1" outlineLevel="1" x14ac:dyDescent="0.25">
      <c r="A102" s="159"/>
      <c r="B102" s="1359"/>
      <c r="C102" s="667" t="str">
        <f>'Optimalizačné opatrenia'!$B$8</f>
        <v>Bezpečnosť</v>
      </c>
      <c r="D102" s="718" t="s">
        <v>530</v>
      </c>
      <c r="E102" s="703" t="s">
        <v>530</v>
      </c>
      <c r="F102" s="703" t="s">
        <v>530</v>
      </c>
      <c r="G102" s="703" t="str">
        <f t="shared" si="87"/>
        <v>A</v>
      </c>
      <c r="H102" s="703"/>
      <c r="I102" s="703"/>
      <c r="J102" s="703"/>
      <c r="K102" s="703"/>
      <c r="L102" s="703" t="str">
        <f t="shared" si="88"/>
        <v>A</v>
      </c>
      <c r="M102" s="703" t="str">
        <f t="shared" si="89"/>
        <v>A</v>
      </c>
      <c r="N102" s="703" t="s">
        <v>530</v>
      </c>
      <c r="O102" s="703"/>
      <c r="P102" s="703" t="str">
        <f t="shared" si="90"/>
        <v>A</v>
      </c>
      <c r="Q102" s="703" t="str">
        <f t="shared" si="90"/>
        <v>A</v>
      </c>
      <c r="R102" s="703" t="str">
        <f t="shared" si="90"/>
        <v>A</v>
      </c>
      <c r="S102" s="703" t="str">
        <f t="shared" si="91"/>
        <v>A</v>
      </c>
      <c r="T102" s="703" t="str">
        <f t="shared" si="92"/>
        <v>A</v>
      </c>
      <c r="U102" s="703" t="str">
        <f t="shared" si="93"/>
        <v>A</v>
      </c>
      <c r="V102" s="703" t="str">
        <f t="shared" si="94"/>
        <v>A</v>
      </c>
      <c r="W102" s="703" t="str">
        <f t="shared" si="94"/>
        <v>A</v>
      </c>
      <c r="X102" s="703" t="str">
        <f t="shared" si="94"/>
        <v>A</v>
      </c>
      <c r="Y102" s="703" t="str">
        <f t="shared" si="95"/>
        <v>A</v>
      </c>
      <c r="Z102" s="703" t="str">
        <f t="shared" si="96"/>
        <v>A</v>
      </c>
      <c r="AA102" s="703" t="str">
        <f t="shared" si="97"/>
        <v>A</v>
      </c>
      <c r="AB102" s="703" t="str">
        <f t="shared" si="98"/>
        <v>A</v>
      </c>
      <c r="AC102" s="703" t="str">
        <f t="shared" si="99"/>
        <v>A</v>
      </c>
      <c r="AD102" s="804"/>
      <c r="AE102" s="804"/>
      <c r="AF102" s="791"/>
      <c r="AG102" s="798"/>
      <c r="AH102" s="928"/>
      <c r="AI102" s="732"/>
      <c r="AJ102" s="733"/>
    </row>
    <row r="103" spans="1:52" hidden="1" outlineLevel="1" x14ac:dyDescent="0.25">
      <c r="A103" s="159"/>
      <c r="B103" s="1359"/>
      <c r="C103" s="667" t="str">
        <f>'Optimalizačné opatrenia'!$B$9</f>
        <v>Auditovateľnosť</v>
      </c>
      <c r="D103" s="718" t="s">
        <v>530</v>
      </c>
      <c r="E103" s="703" t="s">
        <v>530</v>
      </c>
      <c r="F103" s="703" t="s">
        <v>530</v>
      </c>
      <c r="G103" s="703" t="str">
        <f t="shared" si="87"/>
        <v>A</v>
      </c>
      <c r="H103" s="703"/>
      <c r="I103" s="703"/>
      <c r="J103" s="703"/>
      <c r="K103" s="703"/>
      <c r="L103" s="703" t="str">
        <f t="shared" si="88"/>
        <v>A</v>
      </c>
      <c r="M103" s="703" t="str">
        <f t="shared" si="89"/>
        <v>A</v>
      </c>
      <c r="N103" s="703" t="s">
        <v>530</v>
      </c>
      <c r="O103" s="703"/>
      <c r="P103" s="703" t="str">
        <f t="shared" si="90"/>
        <v>A</v>
      </c>
      <c r="Q103" s="703" t="str">
        <f t="shared" si="90"/>
        <v>A</v>
      </c>
      <c r="R103" s="703" t="str">
        <f t="shared" si="90"/>
        <v>A</v>
      </c>
      <c r="S103" s="703" t="str">
        <f t="shared" si="91"/>
        <v>A</v>
      </c>
      <c r="T103" s="703" t="str">
        <f t="shared" si="92"/>
        <v>A</v>
      </c>
      <c r="U103" s="703" t="str">
        <f t="shared" si="93"/>
        <v>A</v>
      </c>
      <c r="V103" s="703" t="str">
        <f t="shared" si="94"/>
        <v>A</v>
      </c>
      <c r="W103" s="703" t="str">
        <f t="shared" si="94"/>
        <v>A</v>
      </c>
      <c r="X103" s="703" t="str">
        <f t="shared" si="94"/>
        <v>A</v>
      </c>
      <c r="Y103" s="703" t="str">
        <f t="shared" si="95"/>
        <v>A</v>
      </c>
      <c r="Z103" s="703" t="str">
        <f t="shared" si="96"/>
        <v>A</v>
      </c>
      <c r="AA103" s="703" t="str">
        <f t="shared" si="97"/>
        <v>A</v>
      </c>
      <c r="AB103" s="703" t="str">
        <f t="shared" si="98"/>
        <v>A</v>
      </c>
      <c r="AC103" s="703" t="str">
        <f t="shared" si="99"/>
        <v>A</v>
      </c>
      <c r="AD103" s="804"/>
      <c r="AE103" s="804"/>
      <c r="AF103" s="791"/>
      <c r="AG103" s="798"/>
      <c r="AH103" s="928"/>
      <c r="AI103" s="732"/>
      <c r="AJ103" s="733"/>
    </row>
    <row r="104" spans="1:52" hidden="1" outlineLevel="1" x14ac:dyDescent="0.25">
      <c r="A104" s="159"/>
      <c r="B104" s="1359"/>
      <c r="C104" s="667" t="str">
        <f>'Optimalizačné opatrenia'!$B$10</f>
        <v>Transparentnosť</v>
      </c>
      <c r="D104" s="718" t="s">
        <v>530</v>
      </c>
      <c r="E104" s="703" t="s">
        <v>530</v>
      </c>
      <c r="F104" s="703" t="s">
        <v>530</v>
      </c>
      <c r="G104" s="703" t="str">
        <f t="shared" si="87"/>
        <v>N</v>
      </c>
      <c r="H104" s="703"/>
      <c r="I104" s="703"/>
      <c r="J104" s="703"/>
      <c r="K104" s="703"/>
      <c r="L104" s="703" t="str">
        <f t="shared" si="88"/>
        <v>N</v>
      </c>
      <c r="M104" s="703" t="str">
        <f t="shared" si="89"/>
        <v>N</v>
      </c>
      <c r="N104" s="703" t="s">
        <v>530</v>
      </c>
      <c r="O104" s="703"/>
      <c r="P104" s="703" t="str">
        <f t="shared" si="90"/>
        <v>A</v>
      </c>
      <c r="Q104" s="703" t="str">
        <f t="shared" si="90"/>
        <v>N</v>
      </c>
      <c r="R104" s="703" t="str">
        <f t="shared" si="90"/>
        <v>N</v>
      </c>
      <c r="S104" s="703" t="str">
        <f t="shared" si="91"/>
        <v>N</v>
      </c>
      <c r="T104" s="703" t="str">
        <f t="shared" si="92"/>
        <v>N</v>
      </c>
      <c r="U104" s="703" t="str">
        <f t="shared" si="93"/>
        <v>N</v>
      </c>
      <c r="V104" s="703" t="str">
        <f t="shared" si="94"/>
        <v>A</v>
      </c>
      <c r="W104" s="703" t="str">
        <f t="shared" si="94"/>
        <v>N</v>
      </c>
      <c r="X104" s="703" t="str">
        <f t="shared" si="94"/>
        <v>N</v>
      </c>
      <c r="Y104" s="703" t="str">
        <f t="shared" si="95"/>
        <v>N</v>
      </c>
      <c r="Z104" s="703" t="str">
        <f t="shared" si="96"/>
        <v>N</v>
      </c>
      <c r="AA104" s="703" t="str">
        <f t="shared" si="97"/>
        <v>A</v>
      </c>
      <c r="AB104" s="703" t="str">
        <f t="shared" si="98"/>
        <v>N</v>
      </c>
      <c r="AC104" s="703" t="str">
        <f t="shared" si="99"/>
        <v>N</v>
      </c>
      <c r="AD104" s="804"/>
      <c r="AE104" s="804"/>
      <c r="AF104" s="791"/>
      <c r="AG104" s="798"/>
      <c r="AH104" s="928"/>
      <c r="AI104" s="732"/>
      <c r="AJ104" s="733"/>
    </row>
    <row r="105" spans="1:52" hidden="1" outlineLevel="1" x14ac:dyDescent="0.25">
      <c r="A105" s="159"/>
      <c r="B105" s="1359"/>
      <c r="C105" s="667" t="str">
        <f>'Optimalizačné opatrenia'!$B$11</f>
        <v>Analyzovatelnosť</v>
      </c>
      <c r="D105" s="718" t="s">
        <v>530</v>
      </c>
      <c r="E105" s="703" t="s">
        <v>530</v>
      </c>
      <c r="F105" s="703" t="s">
        <v>530</v>
      </c>
      <c r="G105" s="703" t="str">
        <f t="shared" si="87"/>
        <v>A</v>
      </c>
      <c r="H105" s="703"/>
      <c r="I105" s="703"/>
      <c r="J105" s="703"/>
      <c r="K105" s="703"/>
      <c r="L105" s="703" t="str">
        <f t="shared" si="88"/>
        <v>A</v>
      </c>
      <c r="M105" s="703" t="str">
        <f t="shared" si="89"/>
        <v>A</v>
      </c>
      <c r="N105" s="703" t="s">
        <v>530</v>
      </c>
      <c r="O105" s="703"/>
      <c r="P105" s="703" t="str">
        <f t="shared" si="90"/>
        <v>A</v>
      </c>
      <c r="Q105" s="703" t="str">
        <f t="shared" si="90"/>
        <v>A</v>
      </c>
      <c r="R105" s="703" t="str">
        <f t="shared" si="90"/>
        <v>A</v>
      </c>
      <c r="S105" s="703" t="str">
        <f t="shared" si="91"/>
        <v>A</v>
      </c>
      <c r="T105" s="703" t="str">
        <f t="shared" si="92"/>
        <v>A</v>
      </c>
      <c r="U105" s="703" t="str">
        <f t="shared" si="93"/>
        <v>A</v>
      </c>
      <c r="V105" s="703" t="str">
        <f t="shared" si="94"/>
        <v>A</v>
      </c>
      <c r="W105" s="703" t="str">
        <f t="shared" si="94"/>
        <v>A</v>
      </c>
      <c r="X105" s="703" t="str">
        <f t="shared" si="94"/>
        <v>A</v>
      </c>
      <c r="Y105" s="703" t="str">
        <f t="shared" si="95"/>
        <v>A</v>
      </c>
      <c r="Z105" s="703" t="str">
        <f t="shared" si="96"/>
        <v>A</v>
      </c>
      <c r="AA105" s="703" t="str">
        <f t="shared" si="97"/>
        <v>A</v>
      </c>
      <c r="AB105" s="703" t="str">
        <f t="shared" si="98"/>
        <v>A</v>
      </c>
      <c r="AC105" s="703" t="str">
        <f t="shared" si="99"/>
        <v>A</v>
      </c>
      <c r="AD105" s="804"/>
      <c r="AE105" s="804"/>
      <c r="AF105" s="791"/>
      <c r="AG105" s="798"/>
      <c r="AH105" s="928"/>
      <c r="AI105" s="732"/>
      <c r="AJ105" s="733"/>
    </row>
    <row r="106" spans="1:52" hidden="1" outlineLevel="1" x14ac:dyDescent="0.25">
      <c r="A106" s="159"/>
      <c r="B106" s="1359"/>
      <c r="C106" s="667" t="str">
        <f>'Optimalizačné opatrenia'!$B$12</f>
        <v>Integrácia</v>
      </c>
      <c r="D106" s="718" t="s">
        <v>530</v>
      </c>
      <c r="E106" s="703" t="s">
        <v>530</v>
      </c>
      <c r="F106" s="703" t="s">
        <v>530</v>
      </c>
      <c r="G106" s="703" t="str">
        <f t="shared" si="87"/>
        <v>A</v>
      </c>
      <c r="H106" s="703"/>
      <c r="I106" s="703"/>
      <c r="J106" s="703"/>
      <c r="K106" s="703"/>
      <c r="L106" s="703" t="str">
        <f t="shared" si="88"/>
        <v>A</v>
      </c>
      <c r="M106" s="703" t="str">
        <f t="shared" si="89"/>
        <v>A</v>
      </c>
      <c r="N106" s="703" t="s">
        <v>530</v>
      </c>
      <c r="O106" s="703"/>
      <c r="P106" s="703" t="str">
        <f t="shared" si="90"/>
        <v>A</v>
      </c>
      <c r="Q106" s="703" t="str">
        <f t="shared" si="90"/>
        <v>A</v>
      </c>
      <c r="R106" s="703" t="str">
        <f t="shared" si="90"/>
        <v>A</v>
      </c>
      <c r="S106" s="703" t="str">
        <f t="shared" si="91"/>
        <v>A</v>
      </c>
      <c r="T106" s="703" t="str">
        <f t="shared" si="92"/>
        <v>A</v>
      </c>
      <c r="U106" s="703" t="str">
        <f t="shared" si="93"/>
        <v>A</v>
      </c>
      <c r="V106" s="703" t="str">
        <f t="shared" si="94"/>
        <v>A</v>
      </c>
      <c r="W106" s="703" t="str">
        <f t="shared" si="94"/>
        <v>A</v>
      </c>
      <c r="X106" s="703" t="str">
        <f t="shared" si="94"/>
        <v>A</v>
      </c>
      <c r="Y106" s="703" t="str">
        <f t="shared" si="95"/>
        <v>A</v>
      </c>
      <c r="Z106" s="703" t="str">
        <f t="shared" si="96"/>
        <v>A</v>
      </c>
      <c r="AA106" s="703" t="str">
        <f t="shared" si="97"/>
        <v>A</v>
      </c>
      <c r="AB106" s="703" t="str">
        <f t="shared" si="98"/>
        <v>A</v>
      </c>
      <c r="AC106" s="703" t="str">
        <f t="shared" si="99"/>
        <v>A</v>
      </c>
      <c r="AD106" s="804"/>
      <c r="AE106" s="804"/>
      <c r="AF106" s="791"/>
      <c r="AG106" s="798"/>
      <c r="AH106" s="928"/>
      <c r="AI106" s="732"/>
      <c r="AJ106" s="733"/>
    </row>
    <row r="107" spans="1:52" hidden="1" outlineLevel="1" x14ac:dyDescent="0.25">
      <c r="A107" s="159"/>
      <c r="B107" s="1359"/>
      <c r="C107" s="672" t="str">
        <f>'Optimalizačné opatrenia'!$B$13</f>
        <v>Proaktivita</v>
      </c>
      <c r="D107" s="718" t="s">
        <v>530</v>
      </c>
      <c r="E107" s="703" t="s">
        <v>530</v>
      </c>
      <c r="F107" s="703" t="s">
        <v>530</v>
      </c>
      <c r="G107" s="703" t="str">
        <f t="shared" si="87"/>
        <v>N</v>
      </c>
      <c r="H107" s="703"/>
      <c r="I107" s="703"/>
      <c r="J107" s="703"/>
      <c r="K107" s="703"/>
      <c r="L107" s="703" t="str">
        <f t="shared" si="88"/>
        <v>A</v>
      </c>
      <c r="M107" s="703" t="str">
        <f t="shared" si="89"/>
        <v>N</v>
      </c>
      <c r="N107" s="703" t="s">
        <v>530</v>
      </c>
      <c r="O107" s="703"/>
      <c r="P107" s="703" t="str">
        <f t="shared" si="90"/>
        <v>N</v>
      </c>
      <c r="Q107" s="703" t="str">
        <f t="shared" si="90"/>
        <v>N</v>
      </c>
      <c r="R107" s="703" t="str">
        <f t="shared" si="90"/>
        <v>A</v>
      </c>
      <c r="S107" s="703" t="str">
        <f t="shared" si="91"/>
        <v>A</v>
      </c>
      <c r="T107" s="703" t="str">
        <f t="shared" si="92"/>
        <v>A</v>
      </c>
      <c r="U107" s="703" t="str">
        <f t="shared" si="93"/>
        <v>N</v>
      </c>
      <c r="V107" s="703" t="str">
        <f t="shared" si="94"/>
        <v>A</v>
      </c>
      <c r="W107" s="703" t="str">
        <f t="shared" si="94"/>
        <v>N</v>
      </c>
      <c r="X107" s="703" t="str">
        <f t="shared" si="94"/>
        <v>N</v>
      </c>
      <c r="Y107" s="703" t="str">
        <f t="shared" si="95"/>
        <v>A</v>
      </c>
      <c r="Z107" s="703" t="str">
        <f t="shared" si="96"/>
        <v>A</v>
      </c>
      <c r="AA107" s="703" t="str">
        <f t="shared" si="97"/>
        <v>A</v>
      </c>
      <c r="AB107" s="703" t="str">
        <f t="shared" si="98"/>
        <v>N</v>
      </c>
      <c r="AC107" s="703" t="str">
        <f t="shared" si="99"/>
        <v>A</v>
      </c>
      <c r="AD107" s="804"/>
      <c r="AE107" s="804"/>
      <c r="AF107" s="791"/>
      <c r="AG107" s="798"/>
      <c r="AH107" s="928"/>
      <c r="AI107" s="732"/>
      <c r="AJ107" s="733"/>
    </row>
    <row r="108" spans="1:52" hidden="1" outlineLevel="1" x14ac:dyDescent="0.25">
      <c r="A108" s="159"/>
      <c r="B108" s="720"/>
      <c r="C108" s="722" t="s">
        <v>538</v>
      </c>
      <c r="D108" s="723">
        <v>0</v>
      </c>
      <c r="E108" s="721">
        <v>0</v>
      </c>
      <c r="F108" s="724">
        <v>0</v>
      </c>
      <c r="G108" s="724">
        <f t="shared" si="87"/>
        <v>0.3</v>
      </c>
      <c r="H108" s="724"/>
      <c r="I108" s="724"/>
      <c r="J108" s="724"/>
      <c r="K108" s="724"/>
      <c r="L108" s="724">
        <f t="shared" si="88"/>
        <v>0.4</v>
      </c>
      <c r="M108" s="724">
        <f t="shared" si="89"/>
        <v>0.3</v>
      </c>
      <c r="N108" s="724">
        <v>0</v>
      </c>
      <c r="O108" s="724"/>
      <c r="P108" s="724">
        <f t="shared" si="90"/>
        <v>0.45</v>
      </c>
      <c r="Q108" s="724">
        <f t="shared" si="90"/>
        <v>0.3</v>
      </c>
      <c r="R108" s="724">
        <f t="shared" si="90"/>
        <v>0.4</v>
      </c>
      <c r="S108" s="724">
        <f t="shared" si="91"/>
        <v>0.4</v>
      </c>
      <c r="T108" s="724">
        <f t="shared" si="92"/>
        <v>0.4</v>
      </c>
      <c r="U108" s="724">
        <f t="shared" si="93"/>
        <v>0.3</v>
      </c>
      <c r="V108" s="724">
        <f t="shared" si="94"/>
        <v>0.5</v>
      </c>
      <c r="W108" s="724">
        <f t="shared" si="94"/>
        <v>0.3</v>
      </c>
      <c r="X108" s="724">
        <f t="shared" si="94"/>
        <v>0.3</v>
      </c>
      <c r="Y108" s="724">
        <f t="shared" si="95"/>
        <v>0.4</v>
      </c>
      <c r="Z108" s="724">
        <f t="shared" si="96"/>
        <v>0.4</v>
      </c>
      <c r="AA108" s="724">
        <f t="shared" si="97"/>
        <v>0.5</v>
      </c>
      <c r="AB108" s="724">
        <f t="shared" si="98"/>
        <v>0.3</v>
      </c>
      <c r="AC108" s="724">
        <f t="shared" si="99"/>
        <v>0.4</v>
      </c>
      <c r="AD108" s="805"/>
      <c r="AE108" s="805"/>
      <c r="AF108" s="792"/>
      <c r="AG108" s="799"/>
      <c r="AH108" s="929"/>
      <c r="AI108" s="735"/>
      <c r="AJ108" s="736"/>
    </row>
    <row r="109" spans="1:52" ht="66.599999999999994" customHeight="1" collapsed="1" x14ac:dyDescent="0.25">
      <c r="A109" s="159">
        <f ca="1">OFFSET(A109,-14,0)+1</f>
        <v>8</v>
      </c>
      <c r="B109" s="234" t="str">
        <f ca="1">'Procesy - AS IS'!B30</f>
        <v>Meranie č. 8</v>
      </c>
      <c r="C109" s="650" t="str">
        <f>'Procesy - AS IS'!C30</f>
        <v>TERMMING, a.s. Bratislava, Kotolňa Železničná - kotle na spaľovanie biomasy, 5809-24751/33/2018/Fia, Kontrola stredného zdroja, 5809-24751/33/2018/Fia</v>
      </c>
      <c r="D109" s="726">
        <f>-'Procesy - AS IS'!D32*D122</f>
        <v>0</v>
      </c>
      <c r="E109" s="653">
        <f>-'Procesy - AS IS'!E32*E122</f>
        <v>0</v>
      </c>
      <c r="F109" s="653">
        <f>-'Procesy - AS IS'!F32*F122</f>
        <v>0</v>
      </c>
      <c r="G109" s="653">
        <f>-'Procesy - AS IS'!G32*G122</f>
        <v>-2.4</v>
      </c>
      <c r="H109" s="653" t="s">
        <v>555</v>
      </c>
      <c r="I109" s="653" t="s">
        <v>555</v>
      </c>
      <c r="J109" s="653" t="s">
        <v>555</v>
      </c>
      <c r="K109" s="653" t="s">
        <v>555</v>
      </c>
      <c r="L109" s="653">
        <f>-'Procesy - AS IS'!L32*L122</f>
        <v>-0.1</v>
      </c>
      <c r="M109" s="653">
        <f>-'Procesy - AS IS'!M32*M122</f>
        <v>-0.89999999999999991</v>
      </c>
      <c r="N109" s="653">
        <f>-'Procesy - AS IS'!N32*N122</f>
        <v>0</v>
      </c>
      <c r="O109" s="653" t="s">
        <v>559</v>
      </c>
      <c r="P109" s="653">
        <f>-'Procesy - AS IS'!P32*P122</f>
        <v>-0.45</v>
      </c>
      <c r="Q109" s="653">
        <f>-'Procesy - AS IS'!Q32*Q122</f>
        <v>0</v>
      </c>
      <c r="R109" s="653">
        <f>-'Procesy - AS IS'!R32*R122</f>
        <v>-3.6363636363636362</v>
      </c>
      <c r="S109" s="653">
        <f>-'Procesy - AS IS'!S32*S122</f>
        <v>-6.7636363636363646</v>
      </c>
      <c r="T109" s="653">
        <f>-'Procesy - AS IS'!T32*T122</f>
        <v>-1.118881118881119</v>
      </c>
      <c r="U109" s="653">
        <f>-'Procesy - AS IS'!U32*U122</f>
        <v>-1.560839160839161</v>
      </c>
      <c r="V109" s="653">
        <f>-'Procesy - AS IS'!V32*V122</f>
        <v>-0.25</v>
      </c>
      <c r="W109" s="653">
        <f>-'Procesy - AS IS'!W32*W122</f>
        <v>-0.1888111888111888</v>
      </c>
      <c r="X109" s="653">
        <f>-'Procesy - AS IS'!X32*X122</f>
        <v>0</v>
      </c>
      <c r="Y109" s="653">
        <f>-'Procesy - AS IS'!Y32*Y122</f>
        <v>-2.0139860139860142</v>
      </c>
      <c r="Z109" s="653">
        <f>-'Procesy - AS IS'!Z32*Z122</f>
        <v>-1.9580419580419582E-2</v>
      </c>
      <c r="AA109" s="653">
        <f>-'Procesy - AS IS'!AA32*AA122</f>
        <v>-4.8951048951048952E-2</v>
      </c>
      <c r="AB109" s="653">
        <f>-'Procesy - AS IS'!AB32*AB122</f>
        <v>-0.2937062937062937</v>
      </c>
      <c r="AC109" s="653">
        <f>-'Procesy - AS IS'!AC32*AC122</f>
        <v>-0.78321678321678334</v>
      </c>
      <c r="AD109" s="754"/>
      <c r="AE109" s="754">
        <f>SUM(D109:AC109)</f>
        <v>-20.527972027972027</v>
      </c>
      <c r="AF109" s="728">
        <f>AE109/'Procesy - AS IS'!AD32</f>
        <v>-0.36988502126319106</v>
      </c>
      <c r="AG109" s="797">
        <f>('Procesy - AS IS'!AG32/(1+$AF109)-'Procesy - AS IS'!AG32)/2</f>
        <v>41.971354296855466</v>
      </c>
      <c r="AH109" s="927">
        <f>('Procesy - AS IS'!AH32/(1+$AF109)-'Procesy - AS IS'!AH32)/2</f>
        <v>14.675298705194216</v>
      </c>
      <c r="AI109" s="730">
        <f>('Procesy - AS IS'!AI32/(1+$AF109)-'Procesy - AS IS'!AI32)/2</f>
        <v>13.207768834674795</v>
      </c>
      <c r="AJ109" s="731">
        <f>('Procesy - AS IS'!AJ32/(1+$AF109)-'Procesy - AS IS'!AJ32)/2</f>
        <v>2.0545418187271904</v>
      </c>
      <c r="AL109" s="232"/>
      <c r="AZ109" s="227"/>
    </row>
    <row r="110" spans="1:52" hidden="1" outlineLevel="1" x14ac:dyDescent="0.25">
      <c r="A110" s="159"/>
      <c r="B110" s="1358" t="s">
        <v>528</v>
      </c>
      <c r="C110" s="667" t="str">
        <f>'Optimalizačné opatrenia'!$B$2</f>
        <v>Modernizácia</v>
      </c>
      <c r="D110" s="673" t="s">
        <v>530</v>
      </c>
      <c r="E110" s="674" t="s">
        <v>530</v>
      </c>
      <c r="F110" s="703" t="s">
        <v>530</v>
      </c>
      <c r="G110" s="703" t="str">
        <f t="shared" ref="G110:G121" si="100">G96</f>
        <v>A</v>
      </c>
      <c r="H110" s="703"/>
      <c r="I110" s="703"/>
      <c r="J110" s="703"/>
      <c r="K110" s="703"/>
      <c r="L110" s="703" t="str">
        <f t="shared" ref="L110:M121" si="101">L96</f>
        <v>A</v>
      </c>
      <c r="M110" s="703" t="str">
        <f t="shared" si="101"/>
        <v>A</v>
      </c>
      <c r="N110" s="703" t="s">
        <v>530</v>
      </c>
      <c r="O110" s="703"/>
      <c r="P110" s="703" t="str">
        <f t="shared" ref="P110:R121" si="102">P96</f>
        <v>A</v>
      </c>
      <c r="Q110" s="703" t="str">
        <f t="shared" si="102"/>
        <v>A</v>
      </c>
      <c r="R110" s="703" t="str">
        <f t="shared" si="102"/>
        <v>A</v>
      </c>
      <c r="S110" s="703" t="str">
        <f t="shared" ref="S110:S122" si="103">R110</f>
        <v>A</v>
      </c>
      <c r="T110" s="703" t="str">
        <f t="shared" ref="T110:T122" si="104">R110</f>
        <v>A</v>
      </c>
      <c r="U110" s="703" t="str">
        <f t="shared" ref="U110:U122" si="105">G110</f>
        <v>A</v>
      </c>
      <c r="V110" s="703" t="str">
        <f t="shared" ref="V110:V121" si="106">V96</f>
        <v>A</v>
      </c>
      <c r="W110" s="703" t="str">
        <f t="shared" ref="W110:W122" si="107">W10</f>
        <v>A</v>
      </c>
      <c r="X110" s="703" t="str">
        <f t="shared" ref="X110:X122" si="108">G110</f>
        <v>A</v>
      </c>
      <c r="Y110" s="703" t="str">
        <f t="shared" ref="Y110:Y122" si="109">R110</f>
        <v>A</v>
      </c>
      <c r="Z110" s="703" t="str">
        <f t="shared" ref="Z110:Z122" si="110">R110</f>
        <v>A</v>
      </c>
      <c r="AA110" s="703" t="str">
        <f t="shared" ref="AA110:AA122" si="111">$V110</f>
        <v>A</v>
      </c>
      <c r="AB110" s="703" t="str">
        <f t="shared" ref="AB110:AB122" si="112">G110</f>
        <v>A</v>
      </c>
      <c r="AC110" s="703" t="str">
        <f t="shared" ref="AC110:AC122" si="113">R110</f>
        <v>A</v>
      </c>
      <c r="AD110" s="804"/>
      <c r="AE110" s="804"/>
      <c r="AF110" s="791"/>
      <c r="AG110" s="798"/>
      <c r="AH110" s="928"/>
      <c r="AI110" s="732"/>
      <c r="AJ110" s="733"/>
    </row>
    <row r="111" spans="1:52" hidden="1" outlineLevel="1" x14ac:dyDescent="0.25">
      <c r="A111" s="159"/>
      <c r="B111" s="1359"/>
      <c r="C111" s="667" t="str">
        <f>'Optimalizačné opatrenia'!$B$3</f>
        <v>Sfunkčnenie</v>
      </c>
      <c r="D111" s="718" t="s">
        <v>530</v>
      </c>
      <c r="E111" s="703" t="s">
        <v>530</v>
      </c>
      <c r="F111" s="703" t="s">
        <v>530</v>
      </c>
      <c r="G111" s="703" t="str">
        <f t="shared" si="100"/>
        <v>N</v>
      </c>
      <c r="H111" s="703"/>
      <c r="I111" s="703"/>
      <c r="J111" s="703"/>
      <c r="K111" s="703"/>
      <c r="L111" s="703" t="str">
        <f t="shared" si="101"/>
        <v>N</v>
      </c>
      <c r="M111" s="703" t="str">
        <f t="shared" si="101"/>
        <v>N</v>
      </c>
      <c r="N111" s="703" t="s">
        <v>530</v>
      </c>
      <c r="O111" s="703"/>
      <c r="P111" s="703" t="str">
        <f t="shared" si="102"/>
        <v>N</v>
      </c>
      <c r="Q111" s="703" t="str">
        <f t="shared" si="102"/>
        <v>N</v>
      </c>
      <c r="R111" s="703" t="str">
        <f t="shared" si="102"/>
        <v>N</v>
      </c>
      <c r="S111" s="703" t="str">
        <f t="shared" si="103"/>
        <v>N</v>
      </c>
      <c r="T111" s="703" t="str">
        <f t="shared" si="104"/>
        <v>N</v>
      </c>
      <c r="U111" s="703" t="str">
        <f t="shared" si="105"/>
        <v>N</v>
      </c>
      <c r="V111" s="703" t="str">
        <f t="shared" si="106"/>
        <v>N</v>
      </c>
      <c r="W111" s="703" t="str">
        <f t="shared" si="107"/>
        <v>N</v>
      </c>
      <c r="X111" s="703" t="str">
        <f t="shared" si="108"/>
        <v>N</v>
      </c>
      <c r="Y111" s="703" t="str">
        <f t="shared" si="109"/>
        <v>N</v>
      </c>
      <c r="Z111" s="703" t="str">
        <f t="shared" si="110"/>
        <v>N</v>
      </c>
      <c r="AA111" s="703" t="str">
        <f t="shared" si="111"/>
        <v>N</v>
      </c>
      <c r="AB111" s="703" t="str">
        <f t="shared" si="112"/>
        <v>N</v>
      </c>
      <c r="AC111" s="703" t="str">
        <f t="shared" si="113"/>
        <v>N</v>
      </c>
      <c r="AD111" s="804"/>
      <c r="AE111" s="804"/>
      <c r="AF111" s="791"/>
      <c r="AG111" s="798"/>
      <c r="AH111" s="928"/>
      <c r="AI111" s="732"/>
      <c r="AJ111" s="733"/>
    </row>
    <row r="112" spans="1:52" hidden="1" outlineLevel="1" x14ac:dyDescent="0.25">
      <c r="A112" s="159"/>
      <c r="B112" s="1359"/>
      <c r="C112" s="667" t="str">
        <f>'Optimalizačné opatrenia'!$B$4</f>
        <v>Zjednotenie</v>
      </c>
      <c r="D112" s="718" t="s">
        <v>530</v>
      </c>
      <c r="E112" s="703" t="s">
        <v>530</v>
      </c>
      <c r="F112" s="703" t="s">
        <v>530</v>
      </c>
      <c r="G112" s="703" t="str">
        <f t="shared" si="100"/>
        <v>A</v>
      </c>
      <c r="H112" s="703"/>
      <c r="I112" s="703"/>
      <c r="J112" s="703"/>
      <c r="K112" s="703"/>
      <c r="L112" s="703" t="str">
        <f t="shared" si="101"/>
        <v>A</v>
      </c>
      <c r="M112" s="703" t="str">
        <f t="shared" si="101"/>
        <v>A</v>
      </c>
      <c r="N112" s="703" t="s">
        <v>530</v>
      </c>
      <c r="O112" s="703"/>
      <c r="P112" s="703" t="str">
        <f t="shared" si="102"/>
        <v>A</v>
      </c>
      <c r="Q112" s="703" t="str">
        <f t="shared" si="102"/>
        <v>A</v>
      </c>
      <c r="R112" s="703" t="str">
        <f t="shared" si="102"/>
        <v>A</v>
      </c>
      <c r="S112" s="703" t="str">
        <f t="shared" si="103"/>
        <v>A</v>
      </c>
      <c r="T112" s="703" t="str">
        <f t="shared" si="104"/>
        <v>A</v>
      </c>
      <c r="U112" s="703" t="str">
        <f t="shared" si="105"/>
        <v>A</v>
      </c>
      <c r="V112" s="703" t="str">
        <f t="shared" si="106"/>
        <v>A</v>
      </c>
      <c r="W112" s="703" t="str">
        <f t="shared" si="107"/>
        <v>A</v>
      </c>
      <c r="X112" s="703" t="str">
        <f t="shared" si="108"/>
        <v>A</v>
      </c>
      <c r="Y112" s="703" t="str">
        <f t="shared" si="109"/>
        <v>A</v>
      </c>
      <c r="Z112" s="703" t="str">
        <f t="shared" si="110"/>
        <v>A</v>
      </c>
      <c r="AA112" s="703" t="str">
        <f t="shared" si="111"/>
        <v>A</v>
      </c>
      <c r="AB112" s="703" t="str">
        <f t="shared" si="112"/>
        <v>A</v>
      </c>
      <c r="AC112" s="703" t="str">
        <f t="shared" si="113"/>
        <v>A</v>
      </c>
      <c r="AD112" s="804"/>
      <c r="AE112" s="804"/>
      <c r="AF112" s="791"/>
      <c r="AG112" s="798"/>
      <c r="AH112" s="928"/>
      <c r="AI112" s="732"/>
      <c r="AJ112" s="733"/>
    </row>
    <row r="113" spans="1:52" hidden="1" outlineLevel="1" x14ac:dyDescent="0.25">
      <c r="A113" s="159"/>
      <c r="B113" s="1359"/>
      <c r="C113" s="667" t="str">
        <f>'Optimalizačné opatrenia'!$B$5</f>
        <v>Centralizácia</v>
      </c>
      <c r="D113" s="718" t="s">
        <v>530</v>
      </c>
      <c r="E113" s="703" t="s">
        <v>530</v>
      </c>
      <c r="F113" s="703" t="s">
        <v>530</v>
      </c>
      <c r="G113" s="703" t="str">
        <f t="shared" si="100"/>
        <v>A</v>
      </c>
      <c r="H113" s="703"/>
      <c r="I113" s="703"/>
      <c r="J113" s="703"/>
      <c r="K113" s="703"/>
      <c r="L113" s="703" t="str">
        <f t="shared" si="101"/>
        <v>A</v>
      </c>
      <c r="M113" s="703" t="str">
        <f t="shared" si="101"/>
        <v>A</v>
      </c>
      <c r="N113" s="703" t="s">
        <v>530</v>
      </c>
      <c r="O113" s="703"/>
      <c r="P113" s="703" t="str">
        <f t="shared" si="102"/>
        <v>A</v>
      </c>
      <c r="Q113" s="703" t="str">
        <f t="shared" si="102"/>
        <v>A</v>
      </c>
      <c r="R113" s="703" t="str">
        <f t="shared" si="102"/>
        <v>A</v>
      </c>
      <c r="S113" s="703" t="str">
        <f t="shared" si="103"/>
        <v>A</v>
      </c>
      <c r="T113" s="703" t="str">
        <f t="shared" si="104"/>
        <v>A</v>
      </c>
      <c r="U113" s="703" t="str">
        <f t="shared" si="105"/>
        <v>A</v>
      </c>
      <c r="V113" s="703" t="str">
        <f t="shared" si="106"/>
        <v>A</v>
      </c>
      <c r="W113" s="703" t="str">
        <f t="shared" si="107"/>
        <v>A</v>
      </c>
      <c r="X113" s="703" t="str">
        <f t="shared" si="108"/>
        <v>A</v>
      </c>
      <c r="Y113" s="703" t="str">
        <f t="shared" si="109"/>
        <v>A</v>
      </c>
      <c r="Z113" s="703" t="str">
        <f t="shared" si="110"/>
        <v>A</v>
      </c>
      <c r="AA113" s="703" t="str">
        <f t="shared" si="111"/>
        <v>A</v>
      </c>
      <c r="AB113" s="703" t="str">
        <f t="shared" si="112"/>
        <v>A</v>
      </c>
      <c r="AC113" s="703" t="str">
        <f t="shared" si="113"/>
        <v>A</v>
      </c>
      <c r="AD113" s="804"/>
      <c r="AE113" s="804"/>
      <c r="AF113" s="791"/>
      <c r="AG113" s="798"/>
      <c r="AH113" s="928"/>
      <c r="AI113" s="732"/>
      <c r="AJ113" s="733"/>
    </row>
    <row r="114" spans="1:52" hidden="1" outlineLevel="1" x14ac:dyDescent="0.25">
      <c r="A114" s="159"/>
      <c r="B114" s="1359"/>
      <c r="C114" s="667" t="str">
        <f>'Optimalizačné opatrenia'!$B$6</f>
        <v>Elektronizácia</v>
      </c>
      <c r="D114" s="718" t="s">
        <v>530</v>
      </c>
      <c r="E114" s="703" t="s">
        <v>530</v>
      </c>
      <c r="F114" s="703" t="s">
        <v>530</v>
      </c>
      <c r="G114" s="703" t="str">
        <f t="shared" si="100"/>
        <v>A</v>
      </c>
      <c r="H114" s="703"/>
      <c r="I114" s="703"/>
      <c r="J114" s="703"/>
      <c r="K114" s="703"/>
      <c r="L114" s="703" t="str">
        <f t="shared" si="101"/>
        <v>A</v>
      </c>
      <c r="M114" s="703" t="str">
        <f t="shared" si="101"/>
        <v>A</v>
      </c>
      <c r="N114" s="703" t="s">
        <v>530</v>
      </c>
      <c r="O114" s="703"/>
      <c r="P114" s="703" t="str">
        <f t="shared" si="102"/>
        <v>A</v>
      </c>
      <c r="Q114" s="703" t="str">
        <f t="shared" si="102"/>
        <v>A</v>
      </c>
      <c r="R114" s="703" t="str">
        <f t="shared" si="102"/>
        <v>A</v>
      </c>
      <c r="S114" s="703" t="str">
        <f t="shared" si="103"/>
        <v>A</v>
      </c>
      <c r="T114" s="703" t="str">
        <f t="shared" si="104"/>
        <v>A</v>
      </c>
      <c r="U114" s="703" t="str">
        <f t="shared" si="105"/>
        <v>A</v>
      </c>
      <c r="V114" s="703" t="str">
        <f t="shared" si="106"/>
        <v>A</v>
      </c>
      <c r="W114" s="703" t="str">
        <f t="shared" si="107"/>
        <v>A</v>
      </c>
      <c r="X114" s="703" t="str">
        <f t="shared" si="108"/>
        <v>A</v>
      </c>
      <c r="Y114" s="703" t="str">
        <f t="shared" si="109"/>
        <v>A</v>
      </c>
      <c r="Z114" s="703" t="str">
        <f t="shared" si="110"/>
        <v>A</v>
      </c>
      <c r="AA114" s="703" t="str">
        <f t="shared" si="111"/>
        <v>A</v>
      </c>
      <c r="AB114" s="703" t="str">
        <f t="shared" si="112"/>
        <v>A</v>
      </c>
      <c r="AC114" s="703" t="str">
        <f t="shared" si="113"/>
        <v>A</v>
      </c>
      <c r="AD114" s="804"/>
      <c r="AE114" s="804"/>
      <c r="AF114" s="791"/>
      <c r="AG114" s="798"/>
      <c r="AH114" s="928"/>
      <c r="AI114" s="732"/>
      <c r="AJ114" s="733"/>
    </row>
    <row r="115" spans="1:52" hidden="1" outlineLevel="1" x14ac:dyDescent="0.25">
      <c r="A115" s="159"/>
      <c r="B115" s="1359"/>
      <c r="C115" s="667" t="str">
        <f>'Optimalizačné opatrenia'!$B$7</f>
        <v>Automatizácia</v>
      </c>
      <c r="D115" s="718" t="s">
        <v>530</v>
      </c>
      <c r="E115" s="703" t="s">
        <v>530</v>
      </c>
      <c r="F115" s="703" t="s">
        <v>530</v>
      </c>
      <c r="G115" s="703" t="str">
        <f t="shared" si="100"/>
        <v>A</v>
      </c>
      <c r="H115" s="703"/>
      <c r="I115" s="703"/>
      <c r="J115" s="703"/>
      <c r="K115" s="703"/>
      <c r="L115" s="703" t="str">
        <f t="shared" si="101"/>
        <v>A</v>
      </c>
      <c r="M115" s="703" t="str">
        <f t="shared" si="101"/>
        <v>A</v>
      </c>
      <c r="N115" s="703" t="s">
        <v>530</v>
      </c>
      <c r="O115" s="703"/>
      <c r="P115" s="703" t="str">
        <f t="shared" si="102"/>
        <v>A</v>
      </c>
      <c r="Q115" s="703" t="str">
        <f t="shared" si="102"/>
        <v>A</v>
      </c>
      <c r="R115" s="703" t="str">
        <f t="shared" si="102"/>
        <v>A</v>
      </c>
      <c r="S115" s="703" t="str">
        <f t="shared" si="103"/>
        <v>A</v>
      </c>
      <c r="T115" s="703" t="str">
        <f t="shared" si="104"/>
        <v>A</v>
      </c>
      <c r="U115" s="703" t="str">
        <f t="shared" si="105"/>
        <v>A</v>
      </c>
      <c r="V115" s="703" t="str">
        <f t="shared" si="106"/>
        <v>A</v>
      </c>
      <c r="W115" s="703" t="str">
        <f t="shared" si="107"/>
        <v>A</v>
      </c>
      <c r="X115" s="703" t="str">
        <f t="shared" si="108"/>
        <v>A</v>
      </c>
      <c r="Y115" s="703" t="str">
        <f t="shared" si="109"/>
        <v>A</v>
      </c>
      <c r="Z115" s="703" t="str">
        <f t="shared" si="110"/>
        <v>A</v>
      </c>
      <c r="AA115" s="703" t="str">
        <f t="shared" si="111"/>
        <v>A</v>
      </c>
      <c r="AB115" s="703" t="str">
        <f t="shared" si="112"/>
        <v>A</v>
      </c>
      <c r="AC115" s="703" t="str">
        <f t="shared" si="113"/>
        <v>A</v>
      </c>
      <c r="AD115" s="804"/>
      <c r="AE115" s="804"/>
      <c r="AF115" s="791"/>
      <c r="AG115" s="798"/>
      <c r="AH115" s="928"/>
      <c r="AI115" s="732"/>
      <c r="AJ115" s="733"/>
    </row>
    <row r="116" spans="1:52" hidden="1" outlineLevel="1" x14ac:dyDescent="0.25">
      <c r="A116" s="159"/>
      <c r="B116" s="1359"/>
      <c r="C116" s="667" t="str">
        <f>'Optimalizačné opatrenia'!$B$8</f>
        <v>Bezpečnosť</v>
      </c>
      <c r="D116" s="718" t="s">
        <v>530</v>
      </c>
      <c r="E116" s="703" t="s">
        <v>530</v>
      </c>
      <c r="F116" s="703" t="s">
        <v>530</v>
      </c>
      <c r="G116" s="703" t="str">
        <f t="shared" si="100"/>
        <v>A</v>
      </c>
      <c r="H116" s="703"/>
      <c r="I116" s="703"/>
      <c r="J116" s="703"/>
      <c r="K116" s="703"/>
      <c r="L116" s="703" t="str">
        <f t="shared" si="101"/>
        <v>A</v>
      </c>
      <c r="M116" s="703" t="str">
        <f t="shared" si="101"/>
        <v>A</v>
      </c>
      <c r="N116" s="703" t="s">
        <v>530</v>
      </c>
      <c r="O116" s="703"/>
      <c r="P116" s="703" t="str">
        <f t="shared" si="102"/>
        <v>A</v>
      </c>
      <c r="Q116" s="703" t="str">
        <f t="shared" si="102"/>
        <v>A</v>
      </c>
      <c r="R116" s="703" t="str">
        <f t="shared" si="102"/>
        <v>A</v>
      </c>
      <c r="S116" s="703" t="str">
        <f t="shared" si="103"/>
        <v>A</v>
      </c>
      <c r="T116" s="703" t="str">
        <f t="shared" si="104"/>
        <v>A</v>
      </c>
      <c r="U116" s="703" t="str">
        <f t="shared" si="105"/>
        <v>A</v>
      </c>
      <c r="V116" s="703" t="str">
        <f t="shared" si="106"/>
        <v>A</v>
      </c>
      <c r="W116" s="703" t="str">
        <f t="shared" si="107"/>
        <v>A</v>
      </c>
      <c r="X116" s="703" t="str">
        <f t="shared" si="108"/>
        <v>A</v>
      </c>
      <c r="Y116" s="703" t="str">
        <f t="shared" si="109"/>
        <v>A</v>
      </c>
      <c r="Z116" s="703" t="str">
        <f t="shared" si="110"/>
        <v>A</v>
      </c>
      <c r="AA116" s="703" t="str">
        <f t="shared" si="111"/>
        <v>A</v>
      </c>
      <c r="AB116" s="703" t="str">
        <f t="shared" si="112"/>
        <v>A</v>
      </c>
      <c r="AC116" s="703" t="str">
        <f t="shared" si="113"/>
        <v>A</v>
      </c>
      <c r="AD116" s="804"/>
      <c r="AE116" s="804"/>
      <c r="AF116" s="791"/>
      <c r="AG116" s="798"/>
      <c r="AH116" s="928"/>
      <c r="AI116" s="732"/>
      <c r="AJ116" s="733"/>
    </row>
    <row r="117" spans="1:52" hidden="1" outlineLevel="1" x14ac:dyDescent="0.25">
      <c r="A117" s="159"/>
      <c r="B117" s="1359"/>
      <c r="C117" s="667" t="str">
        <f>'Optimalizačné opatrenia'!$B$9</f>
        <v>Auditovateľnosť</v>
      </c>
      <c r="D117" s="718" t="s">
        <v>530</v>
      </c>
      <c r="E117" s="703" t="s">
        <v>530</v>
      </c>
      <c r="F117" s="703" t="s">
        <v>530</v>
      </c>
      <c r="G117" s="703" t="str">
        <f t="shared" si="100"/>
        <v>A</v>
      </c>
      <c r="H117" s="703"/>
      <c r="I117" s="703"/>
      <c r="J117" s="703"/>
      <c r="K117" s="703"/>
      <c r="L117" s="703" t="str">
        <f t="shared" si="101"/>
        <v>A</v>
      </c>
      <c r="M117" s="703" t="str">
        <f t="shared" si="101"/>
        <v>A</v>
      </c>
      <c r="N117" s="703" t="s">
        <v>530</v>
      </c>
      <c r="O117" s="703"/>
      <c r="P117" s="703" t="str">
        <f t="shared" si="102"/>
        <v>A</v>
      </c>
      <c r="Q117" s="703" t="str">
        <f t="shared" si="102"/>
        <v>A</v>
      </c>
      <c r="R117" s="703" t="str">
        <f t="shared" si="102"/>
        <v>A</v>
      </c>
      <c r="S117" s="703" t="str">
        <f t="shared" si="103"/>
        <v>A</v>
      </c>
      <c r="T117" s="703" t="str">
        <f t="shared" si="104"/>
        <v>A</v>
      </c>
      <c r="U117" s="703" t="str">
        <f t="shared" si="105"/>
        <v>A</v>
      </c>
      <c r="V117" s="703" t="str">
        <f t="shared" si="106"/>
        <v>A</v>
      </c>
      <c r="W117" s="703" t="str">
        <f t="shared" si="107"/>
        <v>A</v>
      </c>
      <c r="X117" s="703" t="str">
        <f t="shared" si="108"/>
        <v>A</v>
      </c>
      <c r="Y117" s="703" t="str">
        <f t="shared" si="109"/>
        <v>A</v>
      </c>
      <c r="Z117" s="703" t="str">
        <f t="shared" si="110"/>
        <v>A</v>
      </c>
      <c r="AA117" s="703" t="str">
        <f t="shared" si="111"/>
        <v>A</v>
      </c>
      <c r="AB117" s="703" t="str">
        <f t="shared" si="112"/>
        <v>A</v>
      </c>
      <c r="AC117" s="703" t="str">
        <f t="shared" si="113"/>
        <v>A</v>
      </c>
      <c r="AD117" s="804"/>
      <c r="AE117" s="804"/>
      <c r="AF117" s="791"/>
      <c r="AG117" s="798"/>
      <c r="AH117" s="928"/>
      <c r="AI117" s="732"/>
      <c r="AJ117" s="733"/>
    </row>
    <row r="118" spans="1:52" hidden="1" outlineLevel="1" x14ac:dyDescent="0.25">
      <c r="A118" s="159"/>
      <c r="B118" s="1359"/>
      <c r="C118" s="667" t="str">
        <f>'Optimalizačné opatrenia'!$B$10</f>
        <v>Transparentnosť</v>
      </c>
      <c r="D118" s="718" t="s">
        <v>530</v>
      </c>
      <c r="E118" s="703" t="s">
        <v>530</v>
      </c>
      <c r="F118" s="703" t="s">
        <v>530</v>
      </c>
      <c r="G118" s="703" t="str">
        <f t="shared" si="100"/>
        <v>N</v>
      </c>
      <c r="H118" s="703"/>
      <c r="I118" s="703"/>
      <c r="J118" s="703"/>
      <c r="K118" s="703"/>
      <c r="L118" s="703" t="str">
        <f t="shared" si="101"/>
        <v>N</v>
      </c>
      <c r="M118" s="703" t="str">
        <f t="shared" si="101"/>
        <v>N</v>
      </c>
      <c r="N118" s="703" t="s">
        <v>530</v>
      </c>
      <c r="O118" s="703"/>
      <c r="P118" s="703" t="str">
        <f t="shared" si="102"/>
        <v>A</v>
      </c>
      <c r="Q118" s="703" t="str">
        <f t="shared" si="102"/>
        <v>N</v>
      </c>
      <c r="R118" s="703" t="str">
        <f t="shared" si="102"/>
        <v>N</v>
      </c>
      <c r="S118" s="703" t="str">
        <f t="shared" si="103"/>
        <v>N</v>
      </c>
      <c r="T118" s="703" t="str">
        <f t="shared" si="104"/>
        <v>N</v>
      </c>
      <c r="U118" s="703" t="str">
        <f t="shared" si="105"/>
        <v>N</v>
      </c>
      <c r="V118" s="703" t="str">
        <f t="shared" si="106"/>
        <v>A</v>
      </c>
      <c r="W118" s="703" t="str">
        <f t="shared" si="107"/>
        <v>N</v>
      </c>
      <c r="X118" s="703" t="str">
        <f t="shared" si="108"/>
        <v>N</v>
      </c>
      <c r="Y118" s="703" t="str">
        <f t="shared" si="109"/>
        <v>N</v>
      </c>
      <c r="Z118" s="703" t="str">
        <f t="shared" si="110"/>
        <v>N</v>
      </c>
      <c r="AA118" s="703" t="str">
        <f t="shared" si="111"/>
        <v>A</v>
      </c>
      <c r="AB118" s="703" t="str">
        <f t="shared" si="112"/>
        <v>N</v>
      </c>
      <c r="AC118" s="703" t="str">
        <f t="shared" si="113"/>
        <v>N</v>
      </c>
      <c r="AD118" s="804"/>
      <c r="AE118" s="804"/>
      <c r="AF118" s="791"/>
      <c r="AG118" s="798"/>
      <c r="AH118" s="928"/>
      <c r="AI118" s="732"/>
      <c r="AJ118" s="733"/>
    </row>
    <row r="119" spans="1:52" hidden="1" outlineLevel="1" x14ac:dyDescent="0.25">
      <c r="A119" s="159"/>
      <c r="B119" s="1359"/>
      <c r="C119" s="667" t="str">
        <f>'Optimalizačné opatrenia'!$B$11</f>
        <v>Analyzovatelnosť</v>
      </c>
      <c r="D119" s="718" t="s">
        <v>530</v>
      </c>
      <c r="E119" s="703" t="s">
        <v>530</v>
      </c>
      <c r="F119" s="703" t="s">
        <v>530</v>
      </c>
      <c r="G119" s="703" t="str">
        <f t="shared" si="100"/>
        <v>A</v>
      </c>
      <c r="H119" s="703"/>
      <c r="I119" s="703"/>
      <c r="J119" s="703"/>
      <c r="K119" s="703"/>
      <c r="L119" s="703" t="str">
        <f t="shared" si="101"/>
        <v>A</v>
      </c>
      <c r="M119" s="703" t="str">
        <f t="shared" si="101"/>
        <v>A</v>
      </c>
      <c r="N119" s="703" t="s">
        <v>530</v>
      </c>
      <c r="O119" s="703"/>
      <c r="P119" s="703" t="str">
        <f t="shared" si="102"/>
        <v>A</v>
      </c>
      <c r="Q119" s="703" t="str">
        <f t="shared" si="102"/>
        <v>A</v>
      </c>
      <c r="R119" s="703" t="str">
        <f t="shared" si="102"/>
        <v>A</v>
      </c>
      <c r="S119" s="703" t="str">
        <f t="shared" si="103"/>
        <v>A</v>
      </c>
      <c r="T119" s="703" t="str">
        <f t="shared" si="104"/>
        <v>A</v>
      </c>
      <c r="U119" s="703" t="str">
        <f t="shared" si="105"/>
        <v>A</v>
      </c>
      <c r="V119" s="703" t="str">
        <f t="shared" si="106"/>
        <v>A</v>
      </c>
      <c r="W119" s="703" t="str">
        <f t="shared" si="107"/>
        <v>A</v>
      </c>
      <c r="X119" s="703" t="str">
        <f t="shared" si="108"/>
        <v>A</v>
      </c>
      <c r="Y119" s="703" t="str">
        <f t="shared" si="109"/>
        <v>A</v>
      </c>
      <c r="Z119" s="703" t="str">
        <f t="shared" si="110"/>
        <v>A</v>
      </c>
      <c r="AA119" s="703" t="str">
        <f t="shared" si="111"/>
        <v>A</v>
      </c>
      <c r="AB119" s="703" t="str">
        <f t="shared" si="112"/>
        <v>A</v>
      </c>
      <c r="AC119" s="703" t="str">
        <f t="shared" si="113"/>
        <v>A</v>
      </c>
      <c r="AD119" s="804"/>
      <c r="AE119" s="804"/>
      <c r="AF119" s="791"/>
      <c r="AG119" s="798"/>
      <c r="AH119" s="928"/>
      <c r="AI119" s="732"/>
      <c r="AJ119" s="733"/>
    </row>
    <row r="120" spans="1:52" hidden="1" outlineLevel="1" x14ac:dyDescent="0.25">
      <c r="A120" s="159"/>
      <c r="B120" s="1359"/>
      <c r="C120" s="667" t="str">
        <f>'Optimalizačné opatrenia'!$B$12</f>
        <v>Integrácia</v>
      </c>
      <c r="D120" s="718" t="s">
        <v>530</v>
      </c>
      <c r="E120" s="703" t="s">
        <v>530</v>
      </c>
      <c r="F120" s="703" t="s">
        <v>530</v>
      </c>
      <c r="G120" s="703" t="str">
        <f t="shared" si="100"/>
        <v>A</v>
      </c>
      <c r="H120" s="703"/>
      <c r="I120" s="703"/>
      <c r="J120" s="703"/>
      <c r="K120" s="703"/>
      <c r="L120" s="703" t="str">
        <f t="shared" si="101"/>
        <v>A</v>
      </c>
      <c r="M120" s="703" t="str">
        <f t="shared" si="101"/>
        <v>A</v>
      </c>
      <c r="N120" s="703" t="s">
        <v>530</v>
      </c>
      <c r="O120" s="703"/>
      <c r="P120" s="703" t="str">
        <f t="shared" si="102"/>
        <v>A</v>
      </c>
      <c r="Q120" s="703" t="str">
        <f t="shared" si="102"/>
        <v>A</v>
      </c>
      <c r="R120" s="703" t="str">
        <f t="shared" si="102"/>
        <v>A</v>
      </c>
      <c r="S120" s="703" t="str">
        <f t="shared" si="103"/>
        <v>A</v>
      </c>
      <c r="T120" s="703" t="str">
        <f t="shared" si="104"/>
        <v>A</v>
      </c>
      <c r="U120" s="703" t="str">
        <f t="shared" si="105"/>
        <v>A</v>
      </c>
      <c r="V120" s="703" t="str">
        <f t="shared" si="106"/>
        <v>A</v>
      </c>
      <c r="W120" s="703" t="str">
        <f t="shared" si="107"/>
        <v>A</v>
      </c>
      <c r="X120" s="703" t="str">
        <f t="shared" si="108"/>
        <v>A</v>
      </c>
      <c r="Y120" s="703" t="str">
        <f t="shared" si="109"/>
        <v>A</v>
      </c>
      <c r="Z120" s="703" t="str">
        <f t="shared" si="110"/>
        <v>A</v>
      </c>
      <c r="AA120" s="703" t="str">
        <f t="shared" si="111"/>
        <v>A</v>
      </c>
      <c r="AB120" s="703" t="str">
        <f t="shared" si="112"/>
        <v>A</v>
      </c>
      <c r="AC120" s="703" t="str">
        <f t="shared" si="113"/>
        <v>A</v>
      </c>
      <c r="AD120" s="804"/>
      <c r="AE120" s="804"/>
      <c r="AF120" s="791"/>
      <c r="AG120" s="798"/>
      <c r="AH120" s="928"/>
      <c r="AI120" s="732"/>
      <c r="AJ120" s="733"/>
    </row>
    <row r="121" spans="1:52" hidden="1" outlineLevel="1" x14ac:dyDescent="0.25">
      <c r="A121" s="159"/>
      <c r="B121" s="1359"/>
      <c r="C121" s="672" t="str">
        <f>'Optimalizačné opatrenia'!$B$13</f>
        <v>Proaktivita</v>
      </c>
      <c r="D121" s="718" t="s">
        <v>530</v>
      </c>
      <c r="E121" s="703" t="s">
        <v>530</v>
      </c>
      <c r="F121" s="703" t="s">
        <v>530</v>
      </c>
      <c r="G121" s="703" t="str">
        <f t="shared" si="100"/>
        <v>N</v>
      </c>
      <c r="H121" s="703"/>
      <c r="I121" s="703"/>
      <c r="J121" s="703"/>
      <c r="K121" s="703"/>
      <c r="L121" s="703" t="str">
        <f t="shared" si="101"/>
        <v>A</v>
      </c>
      <c r="M121" s="703" t="str">
        <f t="shared" si="101"/>
        <v>N</v>
      </c>
      <c r="N121" s="703" t="s">
        <v>530</v>
      </c>
      <c r="O121" s="703"/>
      <c r="P121" s="703" t="str">
        <f t="shared" si="102"/>
        <v>N</v>
      </c>
      <c r="Q121" s="703" t="str">
        <f t="shared" si="102"/>
        <v>N</v>
      </c>
      <c r="R121" s="703" t="str">
        <f t="shared" si="102"/>
        <v>A</v>
      </c>
      <c r="S121" s="703" t="str">
        <f t="shared" si="103"/>
        <v>A</v>
      </c>
      <c r="T121" s="703" t="str">
        <f t="shared" si="104"/>
        <v>A</v>
      </c>
      <c r="U121" s="703" t="str">
        <f t="shared" si="105"/>
        <v>N</v>
      </c>
      <c r="V121" s="703" t="str">
        <f t="shared" si="106"/>
        <v>A</v>
      </c>
      <c r="W121" s="703" t="str">
        <f t="shared" si="107"/>
        <v>N</v>
      </c>
      <c r="X121" s="703" t="str">
        <f t="shared" si="108"/>
        <v>N</v>
      </c>
      <c r="Y121" s="703" t="str">
        <f t="shared" si="109"/>
        <v>A</v>
      </c>
      <c r="Z121" s="703" t="str">
        <f t="shared" si="110"/>
        <v>A</v>
      </c>
      <c r="AA121" s="703" t="str">
        <f t="shared" si="111"/>
        <v>A</v>
      </c>
      <c r="AB121" s="703" t="str">
        <f t="shared" si="112"/>
        <v>N</v>
      </c>
      <c r="AC121" s="703" t="str">
        <f t="shared" si="113"/>
        <v>A</v>
      </c>
      <c r="AD121" s="804"/>
      <c r="AE121" s="804"/>
      <c r="AF121" s="791"/>
      <c r="AG121" s="798"/>
      <c r="AH121" s="928"/>
      <c r="AI121" s="732"/>
      <c r="AJ121" s="733"/>
    </row>
    <row r="122" spans="1:52" hidden="1" outlineLevel="1" x14ac:dyDescent="0.25">
      <c r="A122" s="159"/>
      <c r="B122" s="720"/>
      <c r="C122" s="722" t="s">
        <v>538</v>
      </c>
      <c r="D122" s="723">
        <v>0</v>
      </c>
      <c r="E122" s="721">
        <v>0</v>
      </c>
      <c r="F122" s="724">
        <v>0</v>
      </c>
      <c r="G122" s="724">
        <f t="shared" ref="G122" si="114">G108</f>
        <v>0.3</v>
      </c>
      <c r="H122" s="724"/>
      <c r="I122" s="724"/>
      <c r="J122" s="724"/>
      <c r="K122" s="724"/>
      <c r="L122" s="724">
        <f t="shared" ref="L122:M122" si="115">L108</f>
        <v>0.4</v>
      </c>
      <c r="M122" s="724">
        <f t="shared" si="115"/>
        <v>0.3</v>
      </c>
      <c r="N122" s="724">
        <v>0</v>
      </c>
      <c r="O122" s="724"/>
      <c r="P122" s="724">
        <f t="shared" ref="P122:R122" si="116">P108</f>
        <v>0.45</v>
      </c>
      <c r="Q122" s="724">
        <f t="shared" si="116"/>
        <v>0.3</v>
      </c>
      <c r="R122" s="724">
        <f t="shared" si="116"/>
        <v>0.4</v>
      </c>
      <c r="S122" s="724">
        <f t="shared" si="103"/>
        <v>0.4</v>
      </c>
      <c r="T122" s="724">
        <f t="shared" si="104"/>
        <v>0.4</v>
      </c>
      <c r="U122" s="724">
        <f t="shared" si="105"/>
        <v>0.3</v>
      </c>
      <c r="V122" s="724">
        <f t="shared" ref="V122" si="117">V108</f>
        <v>0.5</v>
      </c>
      <c r="W122" s="724">
        <f t="shared" si="107"/>
        <v>0.3</v>
      </c>
      <c r="X122" s="724">
        <f t="shared" si="108"/>
        <v>0.3</v>
      </c>
      <c r="Y122" s="724">
        <f t="shared" si="109"/>
        <v>0.4</v>
      </c>
      <c r="Z122" s="724">
        <f t="shared" si="110"/>
        <v>0.4</v>
      </c>
      <c r="AA122" s="724">
        <f t="shared" si="111"/>
        <v>0.5</v>
      </c>
      <c r="AB122" s="724">
        <f t="shared" si="112"/>
        <v>0.3</v>
      </c>
      <c r="AC122" s="724">
        <f t="shared" si="113"/>
        <v>0.4</v>
      </c>
      <c r="AD122" s="805"/>
      <c r="AE122" s="805"/>
      <c r="AF122" s="792"/>
      <c r="AG122" s="799"/>
      <c r="AH122" s="929"/>
      <c r="AI122" s="735"/>
      <c r="AJ122" s="736"/>
    </row>
    <row r="123" spans="1:52" ht="90" collapsed="1" x14ac:dyDescent="0.25">
      <c r="A123" s="159">
        <f ca="1">OFFSET(A123,-14,0)+1</f>
        <v>9</v>
      </c>
      <c r="B123" s="234" t="str">
        <f ca="1">'Procesy - AS IS'!B33</f>
        <v>Meranie č. 9</v>
      </c>
      <c r="C123" s="650" t="str">
        <f>'Procesy - AS IS'!C33</f>
        <v>Nidec Global Appliance Slovakia, s.r.o., Zlaté Moravce - kontrola na základe vlastného kontrolného diskontinuálneho merania, nedodržanie EL, Kontrola stredného zdroja, 6423 - 23451/33/2018/Fia</v>
      </c>
      <c r="D123" s="726">
        <f>-'Procesy - AS IS'!D35*D136</f>
        <v>0</v>
      </c>
      <c r="E123" s="653">
        <f>-'Procesy - AS IS'!E35*E136</f>
        <v>0</v>
      </c>
      <c r="F123" s="653">
        <f>-'Procesy - AS IS'!F35*F136</f>
        <v>0</v>
      </c>
      <c r="G123" s="653">
        <f>-'Procesy - AS IS'!G35*G136</f>
        <v>-2.4</v>
      </c>
      <c r="H123" s="653" t="s">
        <v>555</v>
      </c>
      <c r="I123" s="653" t="s">
        <v>555</v>
      </c>
      <c r="J123" s="653" t="s">
        <v>555</v>
      </c>
      <c r="K123" s="653" t="s">
        <v>555</v>
      </c>
      <c r="L123" s="653">
        <f>-'Procesy - AS IS'!L35*L136</f>
        <v>-0.1</v>
      </c>
      <c r="M123" s="653">
        <f>-'Procesy - AS IS'!M35*M136</f>
        <v>-0.89999999999999991</v>
      </c>
      <c r="N123" s="653">
        <f>-'Procesy - AS IS'!N35*N136</f>
        <v>0</v>
      </c>
      <c r="O123" s="653" t="s">
        <v>559</v>
      </c>
      <c r="P123" s="653">
        <f>-'Procesy - AS IS'!P35*P136</f>
        <v>-0.45</v>
      </c>
      <c r="Q123" s="653">
        <f>-'Procesy - AS IS'!Q35*Q136</f>
        <v>0</v>
      </c>
      <c r="R123" s="653">
        <f>-'Procesy - AS IS'!R35*R136</f>
        <v>-2.7972027972027971</v>
      </c>
      <c r="S123" s="653">
        <f>-'Procesy - AS IS'!S35*S136</f>
        <v>-3.902097902097903</v>
      </c>
      <c r="T123" s="653">
        <f>-'Procesy - AS IS'!T35*T136</f>
        <v>-1.118881118881119</v>
      </c>
      <c r="U123" s="653">
        <f>-'Procesy - AS IS'!U35*U136</f>
        <v>-1.560839160839161</v>
      </c>
      <c r="V123" s="653">
        <f>-'Procesy - AS IS'!V35*V136</f>
        <v>-0.25</v>
      </c>
      <c r="W123" s="653">
        <f>-'Procesy - AS IS'!W35*W136</f>
        <v>-0.1888111888111888</v>
      </c>
      <c r="X123" s="653">
        <f>-'Procesy - AS IS'!X35*X136</f>
        <v>0</v>
      </c>
      <c r="Y123" s="653">
        <f>-'Procesy - AS IS'!Y35*Y136</f>
        <v>-2.0139860139860142</v>
      </c>
      <c r="Z123" s="653">
        <f>-'Procesy - AS IS'!Z35*Z136</f>
        <v>-1.9580419580419582E-2</v>
      </c>
      <c r="AA123" s="653">
        <f>-'Procesy - AS IS'!AA35*AA136</f>
        <v>-4.8951048951048952E-2</v>
      </c>
      <c r="AB123" s="653">
        <f>-'Procesy - AS IS'!AB35*AB136</f>
        <v>-0.39160839160839167</v>
      </c>
      <c r="AC123" s="653">
        <f>-'Procesy - AS IS'!AC35*AC136</f>
        <v>-0.78321678321678334</v>
      </c>
      <c r="AD123" s="754"/>
      <c r="AE123" s="754">
        <f>SUM(D123:AC123)</f>
        <v>-16.925174825174825</v>
      </c>
      <c r="AF123" s="728">
        <f>AE123/'Procesy - AS IS'!AD35</f>
        <v>-0.36597739386837036</v>
      </c>
      <c r="AG123" s="797">
        <f>('Procesy - AS IS'!AG32/(1+$AF123)-'Procesy - AS IS'!AG32)/2</f>
        <v>41.272004197522037</v>
      </c>
      <c r="AH123" s="927">
        <f>('Procesy - AS IS'!AH32/(1+$AF123)-'Procesy - AS IS'!AH32)/2</f>
        <v>14.43077069843428</v>
      </c>
      <c r="AI123" s="730">
        <f>('Procesy - AS IS'!AI32/(1+$AF123)-'Procesy - AS IS'!AI32)/2</f>
        <v>12.987693628590854</v>
      </c>
      <c r="AJ123" s="731">
        <f>('Procesy - AS IS'!AJ32/(1+$AF123)-'Procesy - AS IS'!AJ32)/2</f>
        <v>2.0203078977807989</v>
      </c>
      <c r="AL123" s="232"/>
      <c r="AZ123" s="227"/>
    </row>
    <row r="124" spans="1:52" hidden="1" outlineLevel="1" x14ac:dyDescent="0.25">
      <c r="A124" s="159"/>
      <c r="B124" s="1358" t="s">
        <v>528</v>
      </c>
      <c r="C124" s="667" t="str">
        <f>'Optimalizačné opatrenia'!$B$2</f>
        <v>Modernizácia</v>
      </c>
      <c r="D124" s="703" t="s">
        <v>530</v>
      </c>
      <c r="E124" s="674" t="s">
        <v>530</v>
      </c>
      <c r="F124" s="703" t="s">
        <v>530</v>
      </c>
      <c r="G124" s="703" t="str">
        <f t="shared" ref="G124:G164" si="118">G110</f>
        <v>A</v>
      </c>
      <c r="H124" s="703"/>
      <c r="I124" s="703"/>
      <c r="J124" s="703"/>
      <c r="K124" s="703"/>
      <c r="L124" s="703" t="str">
        <f t="shared" ref="L124:M136" si="119">L110</f>
        <v>A</v>
      </c>
      <c r="M124" s="703" t="str">
        <f t="shared" si="119"/>
        <v>A</v>
      </c>
      <c r="N124" s="703" t="str">
        <f t="shared" ref="N124:N136" si="120">G124</f>
        <v>A</v>
      </c>
      <c r="O124" s="703"/>
      <c r="P124" s="703" t="str">
        <f t="shared" ref="P124:Q136" si="121">P96</f>
        <v>A</v>
      </c>
      <c r="Q124" s="703" t="str">
        <f t="shared" si="121"/>
        <v>A</v>
      </c>
      <c r="R124" s="703" t="str">
        <f t="shared" ref="R124:R164" si="122">R110</f>
        <v>A</v>
      </c>
      <c r="S124" s="703" t="str">
        <f t="shared" ref="S124:S136" si="123">R124</f>
        <v>A</v>
      </c>
      <c r="T124" s="703" t="str">
        <f t="shared" ref="T124:T136" si="124">R96</f>
        <v>A</v>
      </c>
      <c r="U124" s="703" t="str">
        <f t="shared" ref="U124:U164" si="125">$G124</f>
        <v>A</v>
      </c>
      <c r="V124" s="703" t="str">
        <f t="shared" ref="V124:V164" si="126">V96</f>
        <v>A</v>
      </c>
      <c r="W124" s="703" t="str">
        <f t="shared" ref="W124:W136" si="127">W10</f>
        <v>A</v>
      </c>
      <c r="X124" s="703" t="str">
        <f t="shared" ref="X124:X164" si="128">$G124</f>
        <v>A</v>
      </c>
      <c r="Y124" s="703" t="str">
        <f t="shared" ref="Y124:Y164" si="129">$R124</f>
        <v>A</v>
      </c>
      <c r="Z124" s="703" t="str">
        <f t="shared" ref="Z124:Z136" si="130">R96</f>
        <v>A</v>
      </c>
      <c r="AA124" s="703" t="str">
        <f t="shared" ref="AA124:AA164" si="131">$V124</f>
        <v>A</v>
      </c>
      <c r="AB124" s="703" t="str">
        <f t="shared" ref="AB124:AC139" si="132">$R124</f>
        <v>A</v>
      </c>
      <c r="AC124" s="703" t="str">
        <f t="shared" si="132"/>
        <v>A</v>
      </c>
      <c r="AD124" s="804"/>
      <c r="AE124" s="804"/>
      <c r="AF124" s="791"/>
      <c r="AG124" s="798"/>
      <c r="AH124" s="928"/>
      <c r="AI124" s="732"/>
      <c r="AJ124" s="733"/>
    </row>
    <row r="125" spans="1:52" hidden="1" outlineLevel="1" x14ac:dyDescent="0.25">
      <c r="A125" s="159"/>
      <c r="B125" s="1359"/>
      <c r="C125" s="667" t="str">
        <f>'Optimalizačné opatrenia'!$B$3</f>
        <v>Sfunkčnenie</v>
      </c>
      <c r="D125" s="718" t="s">
        <v>530</v>
      </c>
      <c r="E125" s="703" t="s">
        <v>530</v>
      </c>
      <c r="F125" s="703" t="s">
        <v>530</v>
      </c>
      <c r="G125" s="703" t="str">
        <f t="shared" si="118"/>
        <v>N</v>
      </c>
      <c r="H125" s="703"/>
      <c r="I125" s="703"/>
      <c r="J125" s="703"/>
      <c r="K125" s="703"/>
      <c r="L125" s="703" t="str">
        <f t="shared" si="119"/>
        <v>N</v>
      </c>
      <c r="M125" s="703" t="str">
        <f t="shared" si="119"/>
        <v>N</v>
      </c>
      <c r="N125" s="703" t="str">
        <f t="shared" si="120"/>
        <v>N</v>
      </c>
      <c r="O125" s="703"/>
      <c r="P125" s="703" t="str">
        <f t="shared" si="121"/>
        <v>N</v>
      </c>
      <c r="Q125" s="703" t="str">
        <f t="shared" si="121"/>
        <v>N</v>
      </c>
      <c r="R125" s="703" t="str">
        <f t="shared" si="122"/>
        <v>N</v>
      </c>
      <c r="S125" s="703" t="str">
        <f t="shared" si="123"/>
        <v>N</v>
      </c>
      <c r="T125" s="703" t="str">
        <f t="shared" si="124"/>
        <v>N</v>
      </c>
      <c r="U125" s="703" t="str">
        <f t="shared" si="125"/>
        <v>N</v>
      </c>
      <c r="V125" s="703" t="str">
        <f t="shared" si="126"/>
        <v>N</v>
      </c>
      <c r="W125" s="703" t="str">
        <f t="shared" si="127"/>
        <v>N</v>
      </c>
      <c r="X125" s="703" t="str">
        <f t="shared" si="128"/>
        <v>N</v>
      </c>
      <c r="Y125" s="703" t="str">
        <f t="shared" si="129"/>
        <v>N</v>
      </c>
      <c r="Z125" s="703" t="str">
        <f t="shared" si="130"/>
        <v>N</v>
      </c>
      <c r="AA125" s="703" t="str">
        <f t="shared" si="131"/>
        <v>N</v>
      </c>
      <c r="AB125" s="703" t="str">
        <f t="shared" si="132"/>
        <v>N</v>
      </c>
      <c r="AC125" s="703" t="str">
        <f t="shared" si="132"/>
        <v>N</v>
      </c>
      <c r="AD125" s="804"/>
      <c r="AE125" s="804"/>
      <c r="AF125" s="791"/>
      <c r="AG125" s="798"/>
      <c r="AH125" s="928"/>
      <c r="AI125" s="732"/>
      <c r="AJ125" s="733"/>
    </row>
    <row r="126" spans="1:52" hidden="1" outlineLevel="1" x14ac:dyDescent="0.25">
      <c r="A126" s="159"/>
      <c r="B126" s="1359"/>
      <c r="C126" s="667" t="str">
        <f>'Optimalizačné opatrenia'!$B$4</f>
        <v>Zjednotenie</v>
      </c>
      <c r="D126" s="718" t="s">
        <v>530</v>
      </c>
      <c r="E126" s="703" t="s">
        <v>530</v>
      </c>
      <c r="F126" s="703" t="s">
        <v>530</v>
      </c>
      <c r="G126" s="703" t="str">
        <f t="shared" si="118"/>
        <v>A</v>
      </c>
      <c r="H126" s="703"/>
      <c r="I126" s="703"/>
      <c r="J126" s="703"/>
      <c r="K126" s="703"/>
      <c r="L126" s="703" t="str">
        <f t="shared" si="119"/>
        <v>A</v>
      </c>
      <c r="M126" s="703" t="str">
        <f t="shared" si="119"/>
        <v>A</v>
      </c>
      <c r="N126" s="703" t="str">
        <f t="shared" si="120"/>
        <v>A</v>
      </c>
      <c r="O126" s="703"/>
      <c r="P126" s="703" t="str">
        <f t="shared" si="121"/>
        <v>A</v>
      </c>
      <c r="Q126" s="703" t="str">
        <f t="shared" si="121"/>
        <v>A</v>
      </c>
      <c r="R126" s="703" t="str">
        <f t="shared" si="122"/>
        <v>A</v>
      </c>
      <c r="S126" s="703" t="str">
        <f t="shared" si="123"/>
        <v>A</v>
      </c>
      <c r="T126" s="703" t="str">
        <f t="shared" si="124"/>
        <v>A</v>
      </c>
      <c r="U126" s="703" t="str">
        <f t="shared" si="125"/>
        <v>A</v>
      </c>
      <c r="V126" s="703" t="str">
        <f t="shared" si="126"/>
        <v>A</v>
      </c>
      <c r="W126" s="703" t="str">
        <f t="shared" si="127"/>
        <v>A</v>
      </c>
      <c r="X126" s="703" t="str">
        <f t="shared" si="128"/>
        <v>A</v>
      </c>
      <c r="Y126" s="703" t="str">
        <f t="shared" si="129"/>
        <v>A</v>
      </c>
      <c r="Z126" s="703" t="str">
        <f t="shared" si="130"/>
        <v>A</v>
      </c>
      <c r="AA126" s="703" t="str">
        <f t="shared" si="131"/>
        <v>A</v>
      </c>
      <c r="AB126" s="703" t="str">
        <f t="shared" si="132"/>
        <v>A</v>
      </c>
      <c r="AC126" s="703" t="str">
        <f t="shared" si="132"/>
        <v>A</v>
      </c>
      <c r="AD126" s="804"/>
      <c r="AE126" s="804"/>
      <c r="AF126" s="791"/>
      <c r="AG126" s="798"/>
      <c r="AH126" s="928"/>
      <c r="AI126" s="732"/>
      <c r="AJ126" s="733"/>
    </row>
    <row r="127" spans="1:52" hidden="1" outlineLevel="1" x14ac:dyDescent="0.25">
      <c r="A127" s="159"/>
      <c r="B127" s="1359"/>
      <c r="C127" s="667" t="str">
        <f>'Optimalizačné opatrenia'!$B$5</f>
        <v>Centralizácia</v>
      </c>
      <c r="D127" s="718" t="s">
        <v>530</v>
      </c>
      <c r="E127" s="703" t="s">
        <v>530</v>
      </c>
      <c r="F127" s="703" t="s">
        <v>530</v>
      </c>
      <c r="G127" s="703" t="str">
        <f t="shared" si="118"/>
        <v>A</v>
      </c>
      <c r="H127" s="703"/>
      <c r="I127" s="703"/>
      <c r="J127" s="703"/>
      <c r="K127" s="703"/>
      <c r="L127" s="703" t="str">
        <f t="shared" si="119"/>
        <v>A</v>
      </c>
      <c r="M127" s="703" t="str">
        <f t="shared" si="119"/>
        <v>A</v>
      </c>
      <c r="N127" s="703" t="str">
        <f t="shared" si="120"/>
        <v>A</v>
      </c>
      <c r="O127" s="703"/>
      <c r="P127" s="703" t="str">
        <f t="shared" si="121"/>
        <v>A</v>
      </c>
      <c r="Q127" s="703" t="str">
        <f t="shared" si="121"/>
        <v>A</v>
      </c>
      <c r="R127" s="703" t="str">
        <f t="shared" si="122"/>
        <v>A</v>
      </c>
      <c r="S127" s="703" t="str">
        <f t="shared" si="123"/>
        <v>A</v>
      </c>
      <c r="T127" s="703" t="str">
        <f t="shared" si="124"/>
        <v>A</v>
      </c>
      <c r="U127" s="703" t="str">
        <f t="shared" si="125"/>
        <v>A</v>
      </c>
      <c r="V127" s="703" t="str">
        <f t="shared" si="126"/>
        <v>A</v>
      </c>
      <c r="W127" s="703" t="str">
        <f t="shared" si="127"/>
        <v>A</v>
      </c>
      <c r="X127" s="703" t="str">
        <f t="shared" si="128"/>
        <v>A</v>
      </c>
      <c r="Y127" s="703" t="str">
        <f t="shared" si="129"/>
        <v>A</v>
      </c>
      <c r="Z127" s="703" t="str">
        <f t="shared" si="130"/>
        <v>A</v>
      </c>
      <c r="AA127" s="703" t="str">
        <f t="shared" si="131"/>
        <v>A</v>
      </c>
      <c r="AB127" s="703" t="str">
        <f t="shared" si="132"/>
        <v>A</v>
      </c>
      <c r="AC127" s="703" t="str">
        <f t="shared" si="132"/>
        <v>A</v>
      </c>
      <c r="AD127" s="804"/>
      <c r="AE127" s="804"/>
      <c r="AF127" s="791"/>
      <c r="AG127" s="798"/>
      <c r="AH127" s="928"/>
      <c r="AI127" s="732"/>
      <c r="AJ127" s="733"/>
    </row>
    <row r="128" spans="1:52" hidden="1" outlineLevel="1" x14ac:dyDescent="0.25">
      <c r="A128" s="159"/>
      <c r="B128" s="1359"/>
      <c r="C128" s="667" t="str">
        <f>'Optimalizačné opatrenia'!$B$6</f>
        <v>Elektronizácia</v>
      </c>
      <c r="D128" s="718" t="s">
        <v>530</v>
      </c>
      <c r="E128" s="703" t="s">
        <v>530</v>
      </c>
      <c r="F128" s="703" t="s">
        <v>530</v>
      </c>
      <c r="G128" s="703" t="str">
        <f t="shared" si="118"/>
        <v>A</v>
      </c>
      <c r="H128" s="703"/>
      <c r="I128" s="703"/>
      <c r="J128" s="703"/>
      <c r="K128" s="703"/>
      <c r="L128" s="703" t="str">
        <f t="shared" si="119"/>
        <v>A</v>
      </c>
      <c r="M128" s="703" t="str">
        <f t="shared" si="119"/>
        <v>A</v>
      </c>
      <c r="N128" s="703" t="str">
        <f t="shared" si="120"/>
        <v>A</v>
      </c>
      <c r="O128" s="703"/>
      <c r="P128" s="703" t="str">
        <f t="shared" si="121"/>
        <v>A</v>
      </c>
      <c r="Q128" s="703" t="str">
        <f t="shared" si="121"/>
        <v>A</v>
      </c>
      <c r="R128" s="703" t="str">
        <f t="shared" si="122"/>
        <v>A</v>
      </c>
      <c r="S128" s="703" t="str">
        <f t="shared" si="123"/>
        <v>A</v>
      </c>
      <c r="T128" s="703" t="str">
        <f t="shared" si="124"/>
        <v>A</v>
      </c>
      <c r="U128" s="703" t="str">
        <f t="shared" si="125"/>
        <v>A</v>
      </c>
      <c r="V128" s="703" t="str">
        <f t="shared" si="126"/>
        <v>A</v>
      </c>
      <c r="W128" s="703" t="str">
        <f t="shared" si="127"/>
        <v>A</v>
      </c>
      <c r="X128" s="703" t="str">
        <f t="shared" si="128"/>
        <v>A</v>
      </c>
      <c r="Y128" s="703" t="str">
        <f t="shared" si="129"/>
        <v>A</v>
      </c>
      <c r="Z128" s="703" t="str">
        <f t="shared" si="130"/>
        <v>A</v>
      </c>
      <c r="AA128" s="703" t="str">
        <f t="shared" si="131"/>
        <v>A</v>
      </c>
      <c r="AB128" s="703" t="str">
        <f t="shared" si="132"/>
        <v>A</v>
      </c>
      <c r="AC128" s="703" t="str">
        <f t="shared" si="132"/>
        <v>A</v>
      </c>
      <c r="AD128" s="804"/>
      <c r="AE128" s="804"/>
      <c r="AF128" s="791"/>
      <c r="AG128" s="798"/>
      <c r="AH128" s="928"/>
      <c r="AI128" s="732"/>
      <c r="AJ128" s="733"/>
    </row>
    <row r="129" spans="1:52" hidden="1" outlineLevel="1" x14ac:dyDescent="0.25">
      <c r="A129" s="159"/>
      <c r="B129" s="1359"/>
      <c r="C129" s="667" t="str">
        <f>'Optimalizačné opatrenia'!$B$7</f>
        <v>Automatizácia</v>
      </c>
      <c r="D129" s="718" t="s">
        <v>530</v>
      </c>
      <c r="E129" s="703" t="s">
        <v>530</v>
      </c>
      <c r="F129" s="703" t="s">
        <v>530</v>
      </c>
      <c r="G129" s="703" t="str">
        <f t="shared" si="118"/>
        <v>A</v>
      </c>
      <c r="H129" s="703"/>
      <c r="I129" s="703"/>
      <c r="J129" s="703"/>
      <c r="K129" s="703"/>
      <c r="L129" s="703" t="str">
        <f t="shared" si="119"/>
        <v>A</v>
      </c>
      <c r="M129" s="703" t="str">
        <f t="shared" si="119"/>
        <v>A</v>
      </c>
      <c r="N129" s="703" t="str">
        <f t="shared" si="120"/>
        <v>A</v>
      </c>
      <c r="O129" s="703"/>
      <c r="P129" s="703" t="str">
        <f t="shared" si="121"/>
        <v>A</v>
      </c>
      <c r="Q129" s="703" t="str">
        <f t="shared" si="121"/>
        <v>A</v>
      </c>
      <c r="R129" s="703" t="str">
        <f t="shared" si="122"/>
        <v>A</v>
      </c>
      <c r="S129" s="703" t="str">
        <f t="shared" si="123"/>
        <v>A</v>
      </c>
      <c r="T129" s="703" t="str">
        <f t="shared" si="124"/>
        <v>A</v>
      </c>
      <c r="U129" s="703" t="str">
        <f t="shared" si="125"/>
        <v>A</v>
      </c>
      <c r="V129" s="703" t="str">
        <f t="shared" si="126"/>
        <v>A</v>
      </c>
      <c r="W129" s="703" t="str">
        <f t="shared" si="127"/>
        <v>A</v>
      </c>
      <c r="X129" s="703" t="str">
        <f t="shared" si="128"/>
        <v>A</v>
      </c>
      <c r="Y129" s="703" t="str">
        <f t="shared" si="129"/>
        <v>A</v>
      </c>
      <c r="Z129" s="703" t="str">
        <f t="shared" si="130"/>
        <v>A</v>
      </c>
      <c r="AA129" s="703" t="str">
        <f t="shared" si="131"/>
        <v>A</v>
      </c>
      <c r="AB129" s="703" t="str">
        <f t="shared" si="132"/>
        <v>A</v>
      </c>
      <c r="AC129" s="703" t="str">
        <f t="shared" si="132"/>
        <v>A</v>
      </c>
      <c r="AD129" s="804"/>
      <c r="AE129" s="804"/>
      <c r="AF129" s="791"/>
      <c r="AG129" s="798"/>
      <c r="AH129" s="928"/>
      <c r="AI129" s="732"/>
      <c r="AJ129" s="733"/>
    </row>
    <row r="130" spans="1:52" hidden="1" outlineLevel="1" x14ac:dyDescent="0.25">
      <c r="A130" s="159"/>
      <c r="B130" s="1359"/>
      <c r="C130" s="667" t="str">
        <f>'Optimalizačné opatrenia'!$B$8</f>
        <v>Bezpečnosť</v>
      </c>
      <c r="D130" s="718" t="s">
        <v>530</v>
      </c>
      <c r="E130" s="703" t="s">
        <v>530</v>
      </c>
      <c r="F130" s="703" t="s">
        <v>530</v>
      </c>
      <c r="G130" s="703" t="str">
        <f t="shared" si="118"/>
        <v>A</v>
      </c>
      <c r="H130" s="703"/>
      <c r="I130" s="703"/>
      <c r="J130" s="703"/>
      <c r="K130" s="703"/>
      <c r="L130" s="703" t="str">
        <f t="shared" si="119"/>
        <v>A</v>
      </c>
      <c r="M130" s="703" t="str">
        <f t="shared" si="119"/>
        <v>A</v>
      </c>
      <c r="N130" s="703" t="str">
        <f t="shared" si="120"/>
        <v>A</v>
      </c>
      <c r="O130" s="703"/>
      <c r="P130" s="703" t="str">
        <f t="shared" si="121"/>
        <v>A</v>
      </c>
      <c r="Q130" s="703" t="str">
        <f t="shared" si="121"/>
        <v>A</v>
      </c>
      <c r="R130" s="703" t="str">
        <f t="shared" si="122"/>
        <v>A</v>
      </c>
      <c r="S130" s="703" t="str">
        <f t="shared" si="123"/>
        <v>A</v>
      </c>
      <c r="T130" s="703" t="str">
        <f t="shared" si="124"/>
        <v>A</v>
      </c>
      <c r="U130" s="703" t="str">
        <f t="shared" si="125"/>
        <v>A</v>
      </c>
      <c r="V130" s="703" t="str">
        <f t="shared" si="126"/>
        <v>A</v>
      </c>
      <c r="W130" s="703" t="str">
        <f t="shared" si="127"/>
        <v>A</v>
      </c>
      <c r="X130" s="703" t="str">
        <f t="shared" si="128"/>
        <v>A</v>
      </c>
      <c r="Y130" s="703" t="str">
        <f t="shared" si="129"/>
        <v>A</v>
      </c>
      <c r="Z130" s="703" t="str">
        <f t="shared" si="130"/>
        <v>A</v>
      </c>
      <c r="AA130" s="703" t="str">
        <f t="shared" si="131"/>
        <v>A</v>
      </c>
      <c r="AB130" s="703" t="str">
        <f t="shared" si="132"/>
        <v>A</v>
      </c>
      <c r="AC130" s="703" t="str">
        <f t="shared" si="132"/>
        <v>A</v>
      </c>
      <c r="AD130" s="804"/>
      <c r="AE130" s="804"/>
      <c r="AF130" s="791"/>
      <c r="AG130" s="798"/>
      <c r="AH130" s="928"/>
      <c r="AI130" s="732"/>
      <c r="AJ130" s="733"/>
    </row>
    <row r="131" spans="1:52" hidden="1" outlineLevel="1" x14ac:dyDescent="0.25">
      <c r="A131" s="159"/>
      <c r="B131" s="1359"/>
      <c r="C131" s="667" t="str">
        <f>'Optimalizačné opatrenia'!$B$9</f>
        <v>Auditovateľnosť</v>
      </c>
      <c r="D131" s="718" t="s">
        <v>530</v>
      </c>
      <c r="E131" s="703" t="s">
        <v>530</v>
      </c>
      <c r="F131" s="703" t="s">
        <v>530</v>
      </c>
      <c r="G131" s="703" t="str">
        <f t="shared" si="118"/>
        <v>A</v>
      </c>
      <c r="H131" s="703"/>
      <c r="I131" s="703"/>
      <c r="J131" s="703"/>
      <c r="K131" s="703"/>
      <c r="L131" s="703" t="str">
        <f t="shared" si="119"/>
        <v>A</v>
      </c>
      <c r="M131" s="703" t="str">
        <f t="shared" si="119"/>
        <v>A</v>
      </c>
      <c r="N131" s="703" t="str">
        <f t="shared" si="120"/>
        <v>A</v>
      </c>
      <c r="O131" s="703"/>
      <c r="P131" s="703" t="str">
        <f t="shared" si="121"/>
        <v>A</v>
      </c>
      <c r="Q131" s="703" t="str">
        <f t="shared" si="121"/>
        <v>A</v>
      </c>
      <c r="R131" s="703" t="str">
        <f t="shared" si="122"/>
        <v>A</v>
      </c>
      <c r="S131" s="703" t="str">
        <f t="shared" si="123"/>
        <v>A</v>
      </c>
      <c r="T131" s="703" t="str">
        <f t="shared" si="124"/>
        <v>A</v>
      </c>
      <c r="U131" s="703" t="str">
        <f t="shared" si="125"/>
        <v>A</v>
      </c>
      <c r="V131" s="703" t="str">
        <f t="shared" si="126"/>
        <v>A</v>
      </c>
      <c r="W131" s="703" t="str">
        <f t="shared" si="127"/>
        <v>A</v>
      </c>
      <c r="X131" s="703" t="str">
        <f t="shared" si="128"/>
        <v>A</v>
      </c>
      <c r="Y131" s="703" t="str">
        <f t="shared" si="129"/>
        <v>A</v>
      </c>
      <c r="Z131" s="703" t="str">
        <f t="shared" si="130"/>
        <v>A</v>
      </c>
      <c r="AA131" s="703" t="str">
        <f t="shared" si="131"/>
        <v>A</v>
      </c>
      <c r="AB131" s="703" t="str">
        <f t="shared" si="132"/>
        <v>A</v>
      </c>
      <c r="AC131" s="703" t="str">
        <f t="shared" si="132"/>
        <v>A</v>
      </c>
      <c r="AD131" s="804"/>
      <c r="AE131" s="804"/>
      <c r="AF131" s="791"/>
      <c r="AG131" s="798"/>
      <c r="AH131" s="928"/>
      <c r="AI131" s="732"/>
      <c r="AJ131" s="733"/>
    </row>
    <row r="132" spans="1:52" hidden="1" outlineLevel="1" x14ac:dyDescent="0.25">
      <c r="A132" s="159"/>
      <c r="B132" s="1359"/>
      <c r="C132" s="667" t="str">
        <f>'Optimalizačné opatrenia'!$B$10</f>
        <v>Transparentnosť</v>
      </c>
      <c r="D132" s="718" t="s">
        <v>530</v>
      </c>
      <c r="E132" s="703" t="s">
        <v>530</v>
      </c>
      <c r="F132" s="703" t="s">
        <v>530</v>
      </c>
      <c r="G132" s="703" t="str">
        <f t="shared" si="118"/>
        <v>N</v>
      </c>
      <c r="H132" s="703"/>
      <c r="I132" s="703"/>
      <c r="J132" s="703"/>
      <c r="K132" s="703"/>
      <c r="L132" s="703" t="str">
        <f t="shared" si="119"/>
        <v>N</v>
      </c>
      <c r="M132" s="703" t="str">
        <f t="shared" si="119"/>
        <v>N</v>
      </c>
      <c r="N132" s="703" t="str">
        <f t="shared" si="120"/>
        <v>N</v>
      </c>
      <c r="O132" s="703"/>
      <c r="P132" s="703" t="str">
        <f t="shared" si="121"/>
        <v>A</v>
      </c>
      <c r="Q132" s="703" t="str">
        <f t="shared" si="121"/>
        <v>N</v>
      </c>
      <c r="R132" s="703" t="str">
        <f t="shared" si="122"/>
        <v>N</v>
      </c>
      <c r="S132" s="703" t="str">
        <f t="shared" si="123"/>
        <v>N</v>
      </c>
      <c r="T132" s="703" t="str">
        <f t="shared" si="124"/>
        <v>N</v>
      </c>
      <c r="U132" s="703" t="str">
        <f t="shared" si="125"/>
        <v>N</v>
      </c>
      <c r="V132" s="703" t="str">
        <f t="shared" si="126"/>
        <v>A</v>
      </c>
      <c r="W132" s="703" t="str">
        <f t="shared" si="127"/>
        <v>N</v>
      </c>
      <c r="X132" s="703" t="str">
        <f t="shared" si="128"/>
        <v>N</v>
      </c>
      <c r="Y132" s="703" t="str">
        <f t="shared" si="129"/>
        <v>N</v>
      </c>
      <c r="Z132" s="703" t="str">
        <f t="shared" si="130"/>
        <v>N</v>
      </c>
      <c r="AA132" s="703" t="str">
        <f t="shared" si="131"/>
        <v>A</v>
      </c>
      <c r="AB132" s="703" t="str">
        <f t="shared" si="132"/>
        <v>N</v>
      </c>
      <c r="AC132" s="703" t="str">
        <f t="shared" si="132"/>
        <v>N</v>
      </c>
      <c r="AD132" s="804"/>
      <c r="AE132" s="804"/>
      <c r="AF132" s="791"/>
      <c r="AG132" s="798"/>
      <c r="AH132" s="928"/>
      <c r="AI132" s="732"/>
      <c r="AJ132" s="733"/>
    </row>
    <row r="133" spans="1:52" hidden="1" outlineLevel="1" x14ac:dyDescent="0.25">
      <c r="A133" s="159"/>
      <c r="B133" s="1359"/>
      <c r="C133" s="667" t="str">
        <f>'Optimalizačné opatrenia'!$B$11</f>
        <v>Analyzovatelnosť</v>
      </c>
      <c r="D133" s="718" t="s">
        <v>530</v>
      </c>
      <c r="E133" s="703" t="s">
        <v>530</v>
      </c>
      <c r="F133" s="703" t="s">
        <v>530</v>
      </c>
      <c r="G133" s="703" t="str">
        <f t="shared" si="118"/>
        <v>A</v>
      </c>
      <c r="H133" s="703"/>
      <c r="I133" s="703"/>
      <c r="J133" s="703"/>
      <c r="K133" s="703"/>
      <c r="L133" s="703" t="str">
        <f t="shared" si="119"/>
        <v>A</v>
      </c>
      <c r="M133" s="703" t="str">
        <f t="shared" si="119"/>
        <v>A</v>
      </c>
      <c r="N133" s="703" t="str">
        <f t="shared" si="120"/>
        <v>A</v>
      </c>
      <c r="O133" s="703"/>
      <c r="P133" s="703" t="str">
        <f t="shared" si="121"/>
        <v>A</v>
      </c>
      <c r="Q133" s="703" t="str">
        <f t="shared" si="121"/>
        <v>A</v>
      </c>
      <c r="R133" s="703" t="str">
        <f t="shared" si="122"/>
        <v>A</v>
      </c>
      <c r="S133" s="703" t="str">
        <f t="shared" si="123"/>
        <v>A</v>
      </c>
      <c r="T133" s="703" t="str">
        <f t="shared" si="124"/>
        <v>A</v>
      </c>
      <c r="U133" s="703" t="str">
        <f t="shared" si="125"/>
        <v>A</v>
      </c>
      <c r="V133" s="703" t="str">
        <f t="shared" si="126"/>
        <v>A</v>
      </c>
      <c r="W133" s="703" t="str">
        <f t="shared" si="127"/>
        <v>A</v>
      </c>
      <c r="X133" s="703" t="str">
        <f t="shared" si="128"/>
        <v>A</v>
      </c>
      <c r="Y133" s="703" t="str">
        <f t="shared" si="129"/>
        <v>A</v>
      </c>
      <c r="Z133" s="703" t="str">
        <f t="shared" si="130"/>
        <v>A</v>
      </c>
      <c r="AA133" s="703" t="str">
        <f t="shared" si="131"/>
        <v>A</v>
      </c>
      <c r="AB133" s="703" t="str">
        <f t="shared" si="132"/>
        <v>A</v>
      </c>
      <c r="AC133" s="703" t="str">
        <f t="shared" si="132"/>
        <v>A</v>
      </c>
      <c r="AD133" s="804"/>
      <c r="AE133" s="804"/>
      <c r="AF133" s="791"/>
      <c r="AG133" s="798"/>
      <c r="AH133" s="928"/>
      <c r="AI133" s="732"/>
      <c r="AJ133" s="733"/>
    </row>
    <row r="134" spans="1:52" hidden="1" outlineLevel="1" x14ac:dyDescent="0.25">
      <c r="A134" s="159"/>
      <c r="B134" s="1359"/>
      <c r="C134" s="667" t="str">
        <f>'Optimalizačné opatrenia'!$B$12</f>
        <v>Integrácia</v>
      </c>
      <c r="D134" s="718" t="s">
        <v>530</v>
      </c>
      <c r="E134" s="703" t="s">
        <v>530</v>
      </c>
      <c r="F134" s="703" t="s">
        <v>530</v>
      </c>
      <c r="G134" s="703" t="str">
        <f t="shared" si="118"/>
        <v>A</v>
      </c>
      <c r="H134" s="703"/>
      <c r="I134" s="703"/>
      <c r="J134" s="703"/>
      <c r="K134" s="703"/>
      <c r="L134" s="703" t="str">
        <f t="shared" si="119"/>
        <v>A</v>
      </c>
      <c r="M134" s="703" t="str">
        <f t="shared" si="119"/>
        <v>A</v>
      </c>
      <c r="N134" s="703" t="str">
        <f t="shared" si="120"/>
        <v>A</v>
      </c>
      <c r="O134" s="703"/>
      <c r="P134" s="703" t="str">
        <f t="shared" si="121"/>
        <v>A</v>
      </c>
      <c r="Q134" s="703" t="str">
        <f t="shared" si="121"/>
        <v>A</v>
      </c>
      <c r="R134" s="703" t="str">
        <f t="shared" si="122"/>
        <v>A</v>
      </c>
      <c r="S134" s="703" t="str">
        <f t="shared" si="123"/>
        <v>A</v>
      </c>
      <c r="T134" s="703" t="str">
        <f t="shared" si="124"/>
        <v>A</v>
      </c>
      <c r="U134" s="703" t="str">
        <f t="shared" si="125"/>
        <v>A</v>
      </c>
      <c r="V134" s="703" t="str">
        <f t="shared" si="126"/>
        <v>A</v>
      </c>
      <c r="W134" s="703" t="str">
        <f t="shared" si="127"/>
        <v>A</v>
      </c>
      <c r="X134" s="703" t="str">
        <f t="shared" si="128"/>
        <v>A</v>
      </c>
      <c r="Y134" s="703" t="str">
        <f t="shared" si="129"/>
        <v>A</v>
      </c>
      <c r="Z134" s="703" t="str">
        <f t="shared" si="130"/>
        <v>A</v>
      </c>
      <c r="AA134" s="703" t="str">
        <f t="shared" si="131"/>
        <v>A</v>
      </c>
      <c r="AB134" s="703" t="str">
        <f t="shared" si="132"/>
        <v>A</v>
      </c>
      <c r="AC134" s="703" t="str">
        <f t="shared" si="132"/>
        <v>A</v>
      </c>
      <c r="AD134" s="804"/>
      <c r="AE134" s="804"/>
      <c r="AF134" s="791"/>
      <c r="AG134" s="798"/>
      <c r="AH134" s="928"/>
      <c r="AI134" s="732"/>
      <c r="AJ134" s="733"/>
    </row>
    <row r="135" spans="1:52" hidden="1" outlineLevel="1" x14ac:dyDescent="0.25">
      <c r="A135" s="159"/>
      <c r="B135" s="1359"/>
      <c r="C135" s="672" t="str">
        <f>'Optimalizačné opatrenia'!$B$13</f>
        <v>Proaktivita</v>
      </c>
      <c r="D135" s="718" t="s">
        <v>530</v>
      </c>
      <c r="E135" s="703" t="s">
        <v>530</v>
      </c>
      <c r="F135" s="703" t="s">
        <v>530</v>
      </c>
      <c r="G135" s="703" t="str">
        <f t="shared" si="118"/>
        <v>N</v>
      </c>
      <c r="H135" s="703"/>
      <c r="I135" s="703"/>
      <c r="J135" s="703"/>
      <c r="K135" s="703"/>
      <c r="L135" s="703" t="str">
        <f t="shared" si="119"/>
        <v>A</v>
      </c>
      <c r="M135" s="703" t="str">
        <f t="shared" si="119"/>
        <v>N</v>
      </c>
      <c r="N135" s="703" t="str">
        <f t="shared" si="120"/>
        <v>N</v>
      </c>
      <c r="O135" s="703"/>
      <c r="P135" s="703" t="str">
        <f t="shared" si="121"/>
        <v>N</v>
      </c>
      <c r="Q135" s="703" t="str">
        <f t="shared" si="121"/>
        <v>N</v>
      </c>
      <c r="R135" s="703" t="str">
        <f t="shared" si="122"/>
        <v>A</v>
      </c>
      <c r="S135" s="703" t="str">
        <f t="shared" si="123"/>
        <v>A</v>
      </c>
      <c r="T135" s="703" t="str">
        <f t="shared" si="124"/>
        <v>A</v>
      </c>
      <c r="U135" s="703" t="str">
        <f t="shared" si="125"/>
        <v>N</v>
      </c>
      <c r="V135" s="703" t="str">
        <f t="shared" si="126"/>
        <v>A</v>
      </c>
      <c r="W135" s="703" t="str">
        <f t="shared" si="127"/>
        <v>N</v>
      </c>
      <c r="X135" s="703" t="str">
        <f t="shared" si="128"/>
        <v>N</v>
      </c>
      <c r="Y135" s="703" t="str">
        <f t="shared" si="129"/>
        <v>A</v>
      </c>
      <c r="Z135" s="703" t="str">
        <f t="shared" si="130"/>
        <v>A</v>
      </c>
      <c r="AA135" s="703" t="str">
        <f t="shared" si="131"/>
        <v>A</v>
      </c>
      <c r="AB135" s="703" t="str">
        <f t="shared" si="132"/>
        <v>A</v>
      </c>
      <c r="AC135" s="703" t="str">
        <f t="shared" si="132"/>
        <v>A</v>
      </c>
      <c r="AD135" s="804"/>
      <c r="AE135" s="804"/>
      <c r="AF135" s="791"/>
      <c r="AG135" s="798"/>
      <c r="AH135" s="928"/>
      <c r="AI135" s="732"/>
      <c r="AJ135" s="733"/>
    </row>
    <row r="136" spans="1:52" hidden="1" outlineLevel="1" x14ac:dyDescent="0.25">
      <c r="A136" s="159"/>
      <c r="B136" s="720"/>
      <c r="C136" s="722" t="s">
        <v>538</v>
      </c>
      <c r="D136" s="723">
        <v>0</v>
      </c>
      <c r="E136" s="721">
        <v>0</v>
      </c>
      <c r="F136" s="724">
        <v>0</v>
      </c>
      <c r="G136" s="724">
        <f t="shared" si="118"/>
        <v>0.3</v>
      </c>
      <c r="H136" s="724"/>
      <c r="I136" s="724"/>
      <c r="J136" s="724"/>
      <c r="K136" s="724"/>
      <c r="L136" s="724">
        <f t="shared" si="119"/>
        <v>0.4</v>
      </c>
      <c r="M136" s="724">
        <f t="shared" si="119"/>
        <v>0.3</v>
      </c>
      <c r="N136" s="724">
        <f t="shared" si="120"/>
        <v>0.3</v>
      </c>
      <c r="O136" s="724"/>
      <c r="P136" s="724">
        <f t="shared" si="121"/>
        <v>0.45</v>
      </c>
      <c r="Q136" s="724">
        <f t="shared" si="121"/>
        <v>0.3</v>
      </c>
      <c r="R136" s="724">
        <f t="shared" si="122"/>
        <v>0.4</v>
      </c>
      <c r="S136" s="724">
        <f t="shared" si="123"/>
        <v>0.4</v>
      </c>
      <c r="T136" s="724">
        <f t="shared" si="124"/>
        <v>0.4</v>
      </c>
      <c r="U136" s="724">
        <f t="shared" si="125"/>
        <v>0.3</v>
      </c>
      <c r="V136" s="724">
        <f t="shared" si="126"/>
        <v>0.5</v>
      </c>
      <c r="W136" s="724">
        <f t="shared" si="127"/>
        <v>0.3</v>
      </c>
      <c r="X136" s="724">
        <f t="shared" si="128"/>
        <v>0.3</v>
      </c>
      <c r="Y136" s="724">
        <f t="shared" si="129"/>
        <v>0.4</v>
      </c>
      <c r="Z136" s="724">
        <f t="shared" si="130"/>
        <v>0.4</v>
      </c>
      <c r="AA136" s="724">
        <f t="shared" si="131"/>
        <v>0.5</v>
      </c>
      <c r="AB136" s="724">
        <f t="shared" si="132"/>
        <v>0.4</v>
      </c>
      <c r="AC136" s="724">
        <f t="shared" si="132"/>
        <v>0.4</v>
      </c>
      <c r="AD136" s="805"/>
      <c r="AE136" s="805"/>
      <c r="AF136" s="792"/>
      <c r="AG136" s="799"/>
      <c r="AH136" s="929"/>
      <c r="AI136" s="735"/>
      <c r="AJ136" s="736"/>
    </row>
    <row r="137" spans="1:52" ht="31.35" customHeight="1" collapsed="1" x14ac:dyDescent="0.25">
      <c r="A137" s="159">
        <f ca="1">OFFSET(A137,-14,0)+1</f>
        <v>10</v>
      </c>
      <c r="B137" s="234" t="str">
        <f ca="1">'Procesy - AS IS'!B36</f>
        <v>Meranie č. 10</v>
      </c>
      <c r="C137" s="650" t="str">
        <f>'Procesy - AS IS'!C36</f>
        <v>BIO-plus, s.r.o., Kontrola kvality palív, 1020/2018</v>
      </c>
      <c r="D137" s="726">
        <f>-'Procesy - AS IS'!D38*D150</f>
        <v>0</v>
      </c>
      <c r="E137" s="653">
        <f>-'Procesy - AS IS'!E38*E150</f>
        <v>0</v>
      </c>
      <c r="F137" s="653">
        <f>-'Procesy - AS IS'!F38*F150</f>
        <v>0</v>
      </c>
      <c r="G137" s="653">
        <f>-'Procesy - AS IS'!G38*G150</f>
        <v>-2.4</v>
      </c>
      <c r="H137" s="653" t="s">
        <v>555</v>
      </c>
      <c r="I137" s="653" t="s">
        <v>555</v>
      </c>
      <c r="J137" s="653" t="s">
        <v>555</v>
      </c>
      <c r="K137" s="653" t="s">
        <v>555</v>
      </c>
      <c r="L137" s="653">
        <f>-'Procesy - AS IS'!L38*L150</f>
        <v>-0.1</v>
      </c>
      <c r="M137" s="653">
        <f>-'Procesy - AS IS'!M38*M150</f>
        <v>-0.89999999999999991</v>
      </c>
      <c r="N137" s="653">
        <f>-'Procesy - AS IS'!N38*N150</f>
        <v>0</v>
      </c>
      <c r="O137" s="653" t="s">
        <v>559</v>
      </c>
      <c r="P137" s="653">
        <f>-'Procesy - AS IS'!P38*P150</f>
        <v>-0.45</v>
      </c>
      <c r="Q137" s="653">
        <f>-'Procesy - AS IS'!Q38*Q150</f>
        <v>0</v>
      </c>
      <c r="R137" s="653">
        <f>-'Procesy - AS IS'!R38*R150</f>
        <v>-0.23391812865497075</v>
      </c>
      <c r="S137" s="653">
        <f>-'Procesy - AS IS'!S38*S150</f>
        <v>-5.8245614035087732</v>
      </c>
      <c r="T137" s="653">
        <f>-'Procesy - AS IS'!T38*T150</f>
        <v>-9.3567251461988299E-2</v>
      </c>
      <c r="U137" s="653">
        <f>-'Procesy - AS IS'!U38*U150</f>
        <v>-2.3298245614035089</v>
      </c>
      <c r="V137" s="653">
        <f>-'Procesy - AS IS'!V38*V150</f>
        <v>-0.5</v>
      </c>
      <c r="W137" s="653">
        <f>-'Procesy - AS IS'!W38*W150</f>
        <v>-1.4035087719298244E-2</v>
      </c>
      <c r="X137" s="653">
        <f>-'Procesy - AS IS'!X38*X150</f>
        <v>0</v>
      </c>
      <c r="Y137" s="653">
        <f>-'Procesy - AS IS'!Y38*Y150</f>
        <v>-0.14970760233918129</v>
      </c>
      <c r="Z137" s="653">
        <f>-'Procesy - AS IS'!Z38*Z150</f>
        <v>-1.8713450292397661E-2</v>
      </c>
      <c r="AA137" s="653">
        <f>-'Procesy - AS IS'!AA38*AA150</f>
        <v>-4.6783625730994149E-2</v>
      </c>
      <c r="AB137" s="653">
        <f>-'Procesy - AS IS'!AB38*AB150</f>
        <v>-0.14970760233918129</v>
      </c>
      <c r="AC137" s="653">
        <f>-'Procesy - AS IS'!AC38*AC150</f>
        <v>-0.3742690058479532</v>
      </c>
      <c r="AD137" s="754"/>
      <c r="AE137" s="754">
        <f>SUM(D137:AC137)</f>
        <v>-13.585087719298246</v>
      </c>
      <c r="AF137" s="728">
        <f>AE137/'Procesy - AS IS'!AD38</f>
        <v>-0.35500286532951286</v>
      </c>
      <c r="AG137" s="797">
        <f>'Procesy - AS IS'!AG38/(1+$AF137)-'Procesy - AS IS'!AG38</f>
        <v>94.117456819958761</v>
      </c>
      <c r="AH137" s="927">
        <f>'Procesy - AS IS'!AH38/(1+$AF137)-'Procesy - AS IS'!AH38</f>
        <v>2.7519724216362214</v>
      </c>
      <c r="AI137" s="730">
        <f>'Procesy - AS IS'!AI38/(1+$AF137)-'Procesy - AS IS'!AI38</f>
        <v>2.2015779373089766</v>
      </c>
      <c r="AJ137" s="731">
        <f>'Procesy - AS IS'!AJ38/(1+$AF137)-'Procesy - AS IS'!AJ38</f>
        <v>2.2015779373089766</v>
      </c>
      <c r="AL137" s="232"/>
      <c r="AZ137" s="227"/>
    </row>
    <row r="138" spans="1:52" hidden="1" outlineLevel="1" x14ac:dyDescent="0.25">
      <c r="A138" s="159"/>
      <c r="B138" s="1358" t="s">
        <v>528</v>
      </c>
      <c r="C138" s="667" t="str">
        <f>'Optimalizačné opatrenia'!$B$2</f>
        <v>Modernizácia</v>
      </c>
      <c r="D138" s="703" t="s">
        <v>530</v>
      </c>
      <c r="E138" s="674" t="s">
        <v>530</v>
      </c>
      <c r="F138" s="703" t="s">
        <v>530</v>
      </c>
      <c r="G138" s="703" t="str">
        <f t="shared" si="118"/>
        <v>A</v>
      </c>
      <c r="H138" s="703"/>
      <c r="I138" s="703"/>
      <c r="J138" s="703"/>
      <c r="K138" s="703"/>
      <c r="L138" s="703" t="str">
        <f t="shared" ref="L138:M138" si="133">L124</f>
        <v>A</v>
      </c>
      <c r="M138" s="703" t="str">
        <f t="shared" si="133"/>
        <v>A</v>
      </c>
      <c r="N138" s="703" t="str">
        <f t="shared" ref="N138:N150" si="134">G138</f>
        <v>A</v>
      </c>
      <c r="O138" s="703"/>
      <c r="P138" s="703" t="str">
        <f t="shared" ref="P138:Q138" si="135">P110</f>
        <v>A</v>
      </c>
      <c r="Q138" s="703" t="str">
        <f t="shared" si="135"/>
        <v>A</v>
      </c>
      <c r="R138" s="703" t="str">
        <f t="shared" si="122"/>
        <v>A</v>
      </c>
      <c r="S138" s="703" t="str">
        <f t="shared" ref="S138:S150" si="136">R138</f>
        <v>A</v>
      </c>
      <c r="T138" s="703" t="str">
        <f t="shared" ref="T138:T150" si="137">R110</f>
        <v>A</v>
      </c>
      <c r="U138" s="703" t="str">
        <f t="shared" si="125"/>
        <v>A</v>
      </c>
      <c r="V138" s="703" t="str">
        <f t="shared" si="126"/>
        <v>A</v>
      </c>
      <c r="W138" s="703" t="str">
        <f t="shared" ref="W138:W150" si="138">W24</f>
        <v>A</v>
      </c>
      <c r="X138" s="703" t="str">
        <f t="shared" si="128"/>
        <v>A</v>
      </c>
      <c r="Y138" s="703" t="str">
        <f t="shared" si="129"/>
        <v>A</v>
      </c>
      <c r="Z138" s="703" t="str">
        <f t="shared" ref="Z138:Z150" si="139">R110</f>
        <v>A</v>
      </c>
      <c r="AA138" s="703" t="str">
        <f t="shared" si="131"/>
        <v>A</v>
      </c>
      <c r="AB138" s="703" t="str">
        <f t="shared" si="132"/>
        <v>A</v>
      </c>
      <c r="AC138" s="703" t="str">
        <f t="shared" si="132"/>
        <v>A</v>
      </c>
      <c r="AD138" s="804"/>
      <c r="AE138" s="804"/>
      <c r="AF138" s="791"/>
      <c r="AG138" s="798"/>
      <c r="AH138" s="928"/>
      <c r="AI138" s="732"/>
      <c r="AJ138" s="733"/>
    </row>
    <row r="139" spans="1:52" hidden="1" outlineLevel="1" x14ac:dyDescent="0.25">
      <c r="A139" s="159"/>
      <c r="B139" s="1359"/>
      <c r="C139" s="667" t="str">
        <f>'Optimalizačné opatrenia'!$B$3</f>
        <v>Sfunkčnenie</v>
      </c>
      <c r="D139" s="718" t="s">
        <v>530</v>
      </c>
      <c r="E139" s="703" t="s">
        <v>530</v>
      </c>
      <c r="F139" s="703" t="s">
        <v>530</v>
      </c>
      <c r="G139" s="703" t="str">
        <f t="shared" si="118"/>
        <v>N</v>
      </c>
      <c r="H139" s="703"/>
      <c r="I139" s="703"/>
      <c r="J139" s="703"/>
      <c r="K139" s="703"/>
      <c r="L139" s="703" t="str">
        <f t="shared" ref="L139:M139" si="140">L125</f>
        <v>N</v>
      </c>
      <c r="M139" s="703" t="str">
        <f t="shared" si="140"/>
        <v>N</v>
      </c>
      <c r="N139" s="703" t="str">
        <f t="shared" si="134"/>
        <v>N</v>
      </c>
      <c r="O139" s="703"/>
      <c r="P139" s="703" t="str">
        <f t="shared" ref="P139:Q139" si="141">P111</f>
        <v>N</v>
      </c>
      <c r="Q139" s="703" t="str">
        <f t="shared" si="141"/>
        <v>N</v>
      </c>
      <c r="R139" s="703" t="str">
        <f t="shared" si="122"/>
        <v>N</v>
      </c>
      <c r="S139" s="703" t="str">
        <f t="shared" si="136"/>
        <v>N</v>
      </c>
      <c r="T139" s="703" t="str">
        <f t="shared" si="137"/>
        <v>N</v>
      </c>
      <c r="U139" s="703" t="str">
        <f t="shared" si="125"/>
        <v>N</v>
      </c>
      <c r="V139" s="703" t="str">
        <f t="shared" si="126"/>
        <v>N</v>
      </c>
      <c r="W139" s="703" t="str">
        <f t="shared" si="138"/>
        <v>N</v>
      </c>
      <c r="X139" s="703" t="str">
        <f t="shared" si="128"/>
        <v>N</v>
      </c>
      <c r="Y139" s="703" t="str">
        <f t="shared" si="129"/>
        <v>N</v>
      </c>
      <c r="Z139" s="703" t="str">
        <f t="shared" si="139"/>
        <v>N</v>
      </c>
      <c r="AA139" s="703" t="str">
        <f t="shared" si="131"/>
        <v>N</v>
      </c>
      <c r="AB139" s="703" t="str">
        <f t="shared" si="132"/>
        <v>N</v>
      </c>
      <c r="AC139" s="703" t="str">
        <f t="shared" si="132"/>
        <v>N</v>
      </c>
      <c r="AD139" s="804"/>
      <c r="AE139" s="804"/>
      <c r="AF139" s="791"/>
      <c r="AG139" s="798"/>
      <c r="AH139" s="928"/>
      <c r="AI139" s="732"/>
      <c r="AJ139" s="733"/>
    </row>
    <row r="140" spans="1:52" hidden="1" outlineLevel="1" x14ac:dyDescent="0.25">
      <c r="A140" s="159"/>
      <c r="B140" s="1359"/>
      <c r="C140" s="667" t="str">
        <f>'Optimalizačné opatrenia'!$B$4</f>
        <v>Zjednotenie</v>
      </c>
      <c r="D140" s="718" t="s">
        <v>530</v>
      </c>
      <c r="E140" s="703" t="s">
        <v>530</v>
      </c>
      <c r="F140" s="703" t="s">
        <v>530</v>
      </c>
      <c r="G140" s="703" t="str">
        <f t="shared" si="118"/>
        <v>A</v>
      </c>
      <c r="H140" s="703"/>
      <c r="I140" s="703"/>
      <c r="J140" s="703"/>
      <c r="K140" s="703"/>
      <c r="L140" s="703" t="str">
        <f t="shared" ref="L140:M140" si="142">L126</f>
        <v>A</v>
      </c>
      <c r="M140" s="703" t="str">
        <f t="shared" si="142"/>
        <v>A</v>
      </c>
      <c r="N140" s="703" t="str">
        <f t="shared" si="134"/>
        <v>A</v>
      </c>
      <c r="O140" s="703"/>
      <c r="P140" s="703" t="str">
        <f t="shared" ref="P140:Q140" si="143">P112</f>
        <v>A</v>
      </c>
      <c r="Q140" s="703" t="str">
        <f t="shared" si="143"/>
        <v>A</v>
      </c>
      <c r="R140" s="703" t="str">
        <f t="shared" si="122"/>
        <v>A</v>
      </c>
      <c r="S140" s="703" t="str">
        <f t="shared" si="136"/>
        <v>A</v>
      </c>
      <c r="T140" s="703" t="str">
        <f t="shared" si="137"/>
        <v>A</v>
      </c>
      <c r="U140" s="703" t="str">
        <f t="shared" si="125"/>
        <v>A</v>
      </c>
      <c r="V140" s="703" t="str">
        <f t="shared" si="126"/>
        <v>A</v>
      </c>
      <c r="W140" s="703" t="str">
        <f t="shared" si="138"/>
        <v>A</v>
      </c>
      <c r="X140" s="703" t="str">
        <f t="shared" si="128"/>
        <v>A</v>
      </c>
      <c r="Y140" s="703" t="str">
        <f t="shared" si="129"/>
        <v>A</v>
      </c>
      <c r="Z140" s="703" t="str">
        <f t="shared" si="139"/>
        <v>A</v>
      </c>
      <c r="AA140" s="703" t="str">
        <f t="shared" si="131"/>
        <v>A</v>
      </c>
      <c r="AB140" s="703" t="str">
        <f t="shared" ref="AB140:AC150" si="144">$R140</f>
        <v>A</v>
      </c>
      <c r="AC140" s="703" t="str">
        <f t="shared" si="144"/>
        <v>A</v>
      </c>
      <c r="AD140" s="804"/>
      <c r="AE140" s="804"/>
      <c r="AF140" s="791"/>
      <c r="AG140" s="798"/>
      <c r="AH140" s="928"/>
      <c r="AI140" s="732"/>
      <c r="AJ140" s="733"/>
    </row>
    <row r="141" spans="1:52" hidden="1" outlineLevel="1" x14ac:dyDescent="0.25">
      <c r="A141" s="159"/>
      <c r="B141" s="1359"/>
      <c r="C141" s="667" t="str">
        <f>'Optimalizačné opatrenia'!$B$5</f>
        <v>Centralizácia</v>
      </c>
      <c r="D141" s="718" t="s">
        <v>530</v>
      </c>
      <c r="E141" s="703" t="s">
        <v>530</v>
      </c>
      <c r="F141" s="703" t="s">
        <v>530</v>
      </c>
      <c r="G141" s="703" t="str">
        <f t="shared" si="118"/>
        <v>A</v>
      </c>
      <c r="H141" s="703"/>
      <c r="I141" s="703"/>
      <c r="J141" s="703"/>
      <c r="K141" s="703"/>
      <c r="L141" s="703" t="str">
        <f t="shared" ref="L141:M141" si="145">L127</f>
        <v>A</v>
      </c>
      <c r="M141" s="703" t="str">
        <f t="shared" si="145"/>
        <v>A</v>
      </c>
      <c r="N141" s="703" t="str">
        <f t="shared" si="134"/>
        <v>A</v>
      </c>
      <c r="O141" s="703"/>
      <c r="P141" s="703" t="str">
        <f t="shared" ref="P141:Q141" si="146">P113</f>
        <v>A</v>
      </c>
      <c r="Q141" s="703" t="str">
        <f t="shared" si="146"/>
        <v>A</v>
      </c>
      <c r="R141" s="703" t="str">
        <f t="shared" si="122"/>
        <v>A</v>
      </c>
      <c r="S141" s="703" t="str">
        <f t="shared" si="136"/>
        <v>A</v>
      </c>
      <c r="T141" s="703" t="str">
        <f t="shared" si="137"/>
        <v>A</v>
      </c>
      <c r="U141" s="703" t="str">
        <f t="shared" si="125"/>
        <v>A</v>
      </c>
      <c r="V141" s="703" t="str">
        <f t="shared" si="126"/>
        <v>A</v>
      </c>
      <c r="W141" s="703" t="str">
        <f t="shared" si="138"/>
        <v>A</v>
      </c>
      <c r="X141" s="703" t="str">
        <f t="shared" si="128"/>
        <v>A</v>
      </c>
      <c r="Y141" s="703" t="str">
        <f t="shared" si="129"/>
        <v>A</v>
      </c>
      <c r="Z141" s="703" t="str">
        <f t="shared" si="139"/>
        <v>A</v>
      </c>
      <c r="AA141" s="703" t="str">
        <f t="shared" si="131"/>
        <v>A</v>
      </c>
      <c r="AB141" s="703" t="str">
        <f t="shared" si="144"/>
        <v>A</v>
      </c>
      <c r="AC141" s="703" t="str">
        <f t="shared" si="144"/>
        <v>A</v>
      </c>
      <c r="AD141" s="804"/>
      <c r="AE141" s="804"/>
      <c r="AF141" s="791"/>
      <c r="AG141" s="798"/>
      <c r="AH141" s="928"/>
      <c r="AI141" s="732"/>
      <c r="AJ141" s="733"/>
    </row>
    <row r="142" spans="1:52" hidden="1" outlineLevel="1" x14ac:dyDescent="0.25">
      <c r="A142" s="159"/>
      <c r="B142" s="1359"/>
      <c r="C142" s="667" t="str">
        <f>'Optimalizačné opatrenia'!$B$6</f>
        <v>Elektronizácia</v>
      </c>
      <c r="D142" s="718" t="s">
        <v>530</v>
      </c>
      <c r="E142" s="703" t="s">
        <v>530</v>
      </c>
      <c r="F142" s="703" t="s">
        <v>530</v>
      </c>
      <c r="G142" s="703" t="str">
        <f t="shared" si="118"/>
        <v>A</v>
      </c>
      <c r="H142" s="703"/>
      <c r="I142" s="703"/>
      <c r="J142" s="703"/>
      <c r="K142" s="703"/>
      <c r="L142" s="703" t="str">
        <f t="shared" ref="L142:M142" si="147">L128</f>
        <v>A</v>
      </c>
      <c r="M142" s="703" t="str">
        <f t="shared" si="147"/>
        <v>A</v>
      </c>
      <c r="N142" s="703" t="str">
        <f t="shared" si="134"/>
        <v>A</v>
      </c>
      <c r="O142" s="703"/>
      <c r="P142" s="703" t="str">
        <f t="shared" ref="P142:Q142" si="148">P114</f>
        <v>A</v>
      </c>
      <c r="Q142" s="703" t="str">
        <f t="shared" si="148"/>
        <v>A</v>
      </c>
      <c r="R142" s="703" t="str">
        <f t="shared" si="122"/>
        <v>A</v>
      </c>
      <c r="S142" s="703" t="str">
        <f t="shared" si="136"/>
        <v>A</v>
      </c>
      <c r="T142" s="703" t="str">
        <f t="shared" si="137"/>
        <v>A</v>
      </c>
      <c r="U142" s="703" t="str">
        <f t="shared" si="125"/>
        <v>A</v>
      </c>
      <c r="V142" s="703" t="str">
        <f t="shared" si="126"/>
        <v>A</v>
      </c>
      <c r="W142" s="703" t="str">
        <f t="shared" si="138"/>
        <v>A</v>
      </c>
      <c r="X142" s="703" t="str">
        <f t="shared" si="128"/>
        <v>A</v>
      </c>
      <c r="Y142" s="703" t="str">
        <f t="shared" si="129"/>
        <v>A</v>
      </c>
      <c r="Z142" s="703" t="str">
        <f t="shared" si="139"/>
        <v>A</v>
      </c>
      <c r="AA142" s="703" t="str">
        <f t="shared" si="131"/>
        <v>A</v>
      </c>
      <c r="AB142" s="703" t="str">
        <f t="shared" si="144"/>
        <v>A</v>
      </c>
      <c r="AC142" s="703" t="str">
        <f t="shared" si="144"/>
        <v>A</v>
      </c>
      <c r="AD142" s="804"/>
      <c r="AE142" s="804"/>
      <c r="AF142" s="791"/>
      <c r="AG142" s="798"/>
      <c r="AH142" s="928"/>
      <c r="AI142" s="732"/>
      <c r="AJ142" s="733"/>
    </row>
    <row r="143" spans="1:52" hidden="1" outlineLevel="1" x14ac:dyDescent="0.25">
      <c r="A143" s="159"/>
      <c r="B143" s="1359"/>
      <c r="C143" s="667" t="str">
        <f>'Optimalizačné opatrenia'!$B$7</f>
        <v>Automatizácia</v>
      </c>
      <c r="D143" s="718" t="s">
        <v>530</v>
      </c>
      <c r="E143" s="703" t="s">
        <v>530</v>
      </c>
      <c r="F143" s="703" t="s">
        <v>530</v>
      </c>
      <c r="G143" s="703" t="str">
        <f t="shared" si="118"/>
        <v>A</v>
      </c>
      <c r="H143" s="703"/>
      <c r="I143" s="703"/>
      <c r="J143" s="703"/>
      <c r="K143" s="703"/>
      <c r="L143" s="703" t="str">
        <f t="shared" ref="L143:M143" si="149">L129</f>
        <v>A</v>
      </c>
      <c r="M143" s="703" t="str">
        <f t="shared" si="149"/>
        <v>A</v>
      </c>
      <c r="N143" s="703" t="str">
        <f t="shared" si="134"/>
        <v>A</v>
      </c>
      <c r="O143" s="703"/>
      <c r="P143" s="703" t="str">
        <f t="shared" ref="P143:Q143" si="150">P115</f>
        <v>A</v>
      </c>
      <c r="Q143" s="703" t="str">
        <f t="shared" si="150"/>
        <v>A</v>
      </c>
      <c r="R143" s="703" t="str">
        <f t="shared" si="122"/>
        <v>A</v>
      </c>
      <c r="S143" s="703" t="str">
        <f t="shared" si="136"/>
        <v>A</v>
      </c>
      <c r="T143" s="703" t="str">
        <f t="shared" si="137"/>
        <v>A</v>
      </c>
      <c r="U143" s="703" t="str">
        <f t="shared" si="125"/>
        <v>A</v>
      </c>
      <c r="V143" s="703" t="str">
        <f t="shared" si="126"/>
        <v>A</v>
      </c>
      <c r="W143" s="703" t="str">
        <f t="shared" si="138"/>
        <v>A</v>
      </c>
      <c r="X143" s="703" t="str">
        <f t="shared" si="128"/>
        <v>A</v>
      </c>
      <c r="Y143" s="703" t="str">
        <f t="shared" si="129"/>
        <v>A</v>
      </c>
      <c r="Z143" s="703" t="str">
        <f t="shared" si="139"/>
        <v>A</v>
      </c>
      <c r="AA143" s="703" t="str">
        <f t="shared" si="131"/>
        <v>A</v>
      </c>
      <c r="AB143" s="703" t="str">
        <f t="shared" si="144"/>
        <v>A</v>
      </c>
      <c r="AC143" s="703" t="str">
        <f t="shared" si="144"/>
        <v>A</v>
      </c>
      <c r="AD143" s="804"/>
      <c r="AE143" s="804"/>
      <c r="AF143" s="791"/>
      <c r="AG143" s="798"/>
      <c r="AH143" s="928"/>
      <c r="AI143" s="732"/>
      <c r="AJ143" s="733"/>
    </row>
    <row r="144" spans="1:52" hidden="1" outlineLevel="1" x14ac:dyDescent="0.25">
      <c r="A144" s="159"/>
      <c r="B144" s="1359"/>
      <c r="C144" s="667" t="str">
        <f>'Optimalizačné opatrenia'!$B$8</f>
        <v>Bezpečnosť</v>
      </c>
      <c r="D144" s="718" t="s">
        <v>530</v>
      </c>
      <c r="E144" s="703" t="s">
        <v>530</v>
      </c>
      <c r="F144" s="703" t="s">
        <v>530</v>
      </c>
      <c r="G144" s="703" t="str">
        <f t="shared" si="118"/>
        <v>A</v>
      </c>
      <c r="H144" s="703"/>
      <c r="I144" s="703"/>
      <c r="J144" s="703"/>
      <c r="K144" s="703"/>
      <c r="L144" s="703" t="str">
        <f t="shared" ref="L144:M144" si="151">L130</f>
        <v>A</v>
      </c>
      <c r="M144" s="703" t="str">
        <f t="shared" si="151"/>
        <v>A</v>
      </c>
      <c r="N144" s="703" t="str">
        <f t="shared" si="134"/>
        <v>A</v>
      </c>
      <c r="O144" s="703"/>
      <c r="P144" s="703" t="str">
        <f t="shared" ref="P144:Q144" si="152">P116</f>
        <v>A</v>
      </c>
      <c r="Q144" s="703" t="str">
        <f t="shared" si="152"/>
        <v>A</v>
      </c>
      <c r="R144" s="703" t="str">
        <f t="shared" si="122"/>
        <v>A</v>
      </c>
      <c r="S144" s="703" t="str">
        <f t="shared" si="136"/>
        <v>A</v>
      </c>
      <c r="T144" s="703" t="str">
        <f t="shared" si="137"/>
        <v>A</v>
      </c>
      <c r="U144" s="703" t="str">
        <f t="shared" si="125"/>
        <v>A</v>
      </c>
      <c r="V144" s="703" t="str">
        <f t="shared" si="126"/>
        <v>A</v>
      </c>
      <c r="W144" s="703" t="str">
        <f t="shared" si="138"/>
        <v>A</v>
      </c>
      <c r="X144" s="703" t="str">
        <f t="shared" si="128"/>
        <v>A</v>
      </c>
      <c r="Y144" s="703" t="str">
        <f t="shared" si="129"/>
        <v>A</v>
      </c>
      <c r="Z144" s="703" t="str">
        <f t="shared" si="139"/>
        <v>A</v>
      </c>
      <c r="AA144" s="703" t="str">
        <f t="shared" si="131"/>
        <v>A</v>
      </c>
      <c r="AB144" s="703" t="str">
        <f t="shared" si="144"/>
        <v>A</v>
      </c>
      <c r="AC144" s="703" t="str">
        <f t="shared" si="144"/>
        <v>A</v>
      </c>
      <c r="AD144" s="804"/>
      <c r="AE144" s="804"/>
      <c r="AF144" s="791"/>
      <c r="AG144" s="798"/>
      <c r="AH144" s="928"/>
      <c r="AI144" s="732"/>
      <c r="AJ144" s="733"/>
    </row>
    <row r="145" spans="1:52" hidden="1" outlineLevel="1" x14ac:dyDescent="0.25">
      <c r="A145" s="159"/>
      <c r="B145" s="1359"/>
      <c r="C145" s="667" t="str">
        <f>'Optimalizačné opatrenia'!$B$9</f>
        <v>Auditovateľnosť</v>
      </c>
      <c r="D145" s="718" t="s">
        <v>530</v>
      </c>
      <c r="E145" s="703" t="s">
        <v>530</v>
      </c>
      <c r="F145" s="703" t="s">
        <v>530</v>
      </c>
      <c r="G145" s="703" t="str">
        <f t="shared" si="118"/>
        <v>A</v>
      </c>
      <c r="H145" s="703"/>
      <c r="I145" s="703"/>
      <c r="J145" s="703"/>
      <c r="K145" s="703"/>
      <c r="L145" s="703" t="str">
        <f t="shared" ref="L145:M145" si="153">L131</f>
        <v>A</v>
      </c>
      <c r="M145" s="703" t="str">
        <f t="shared" si="153"/>
        <v>A</v>
      </c>
      <c r="N145" s="703" t="str">
        <f t="shared" si="134"/>
        <v>A</v>
      </c>
      <c r="O145" s="703"/>
      <c r="P145" s="703" t="str">
        <f t="shared" ref="P145:Q145" si="154">P117</f>
        <v>A</v>
      </c>
      <c r="Q145" s="703" t="str">
        <f t="shared" si="154"/>
        <v>A</v>
      </c>
      <c r="R145" s="703" t="str">
        <f t="shared" si="122"/>
        <v>A</v>
      </c>
      <c r="S145" s="703" t="str">
        <f t="shared" si="136"/>
        <v>A</v>
      </c>
      <c r="T145" s="703" t="str">
        <f t="shared" si="137"/>
        <v>A</v>
      </c>
      <c r="U145" s="703" t="str">
        <f t="shared" si="125"/>
        <v>A</v>
      </c>
      <c r="V145" s="703" t="str">
        <f t="shared" si="126"/>
        <v>A</v>
      </c>
      <c r="W145" s="703" t="str">
        <f t="shared" si="138"/>
        <v>A</v>
      </c>
      <c r="X145" s="703" t="str">
        <f t="shared" si="128"/>
        <v>A</v>
      </c>
      <c r="Y145" s="703" t="str">
        <f t="shared" si="129"/>
        <v>A</v>
      </c>
      <c r="Z145" s="703" t="str">
        <f t="shared" si="139"/>
        <v>A</v>
      </c>
      <c r="AA145" s="703" t="str">
        <f t="shared" si="131"/>
        <v>A</v>
      </c>
      <c r="AB145" s="703" t="str">
        <f t="shared" si="144"/>
        <v>A</v>
      </c>
      <c r="AC145" s="703" t="str">
        <f t="shared" si="144"/>
        <v>A</v>
      </c>
      <c r="AD145" s="804"/>
      <c r="AE145" s="804"/>
      <c r="AF145" s="791"/>
      <c r="AG145" s="798"/>
      <c r="AH145" s="928"/>
      <c r="AI145" s="732"/>
      <c r="AJ145" s="733"/>
    </row>
    <row r="146" spans="1:52" hidden="1" outlineLevel="1" x14ac:dyDescent="0.25">
      <c r="A146" s="159"/>
      <c r="B146" s="1359"/>
      <c r="C146" s="667" t="str">
        <f>'Optimalizačné opatrenia'!$B$10</f>
        <v>Transparentnosť</v>
      </c>
      <c r="D146" s="718" t="s">
        <v>530</v>
      </c>
      <c r="E146" s="703" t="s">
        <v>530</v>
      </c>
      <c r="F146" s="703" t="s">
        <v>530</v>
      </c>
      <c r="G146" s="703" t="str">
        <f t="shared" si="118"/>
        <v>N</v>
      </c>
      <c r="H146" s="703"/>
      <c r="I146" s="703"/>
      <c r="J146" s="703"/>
      <c r="K146" s="703"/>
      <c r="L146" s="703" t="str">
        <f t="shared" ref="L146:M146" si="155">L132</f>
        <v>N</v>
      </c>
      <c r="M146" s="703" t="str">
        <f t="shared" si="155"/>
        <v>N</v>
      </c>
      <c r="N146" s="703" t="str">
        <f t="shared" si="134"/>
        <v>N</v>
      </c>
      <c r="O146" s="703"/>
      <c r="P146" s="703" t="str">
        <f t="shared" ref="P146:Q146" si="156">P118</f>
        <v>A</v>
      </c>
      <c r="Q146" s="703" t="str">
        <f t="shared" si="156"/>
        <v>N</v>
      </c>
      <c r="R146" s="703" t="str">
        <f t="shared" si="122"/>
        <v>N</v>
      </c>
      <c r="S146" s="703" t="str">
        <f t="shared" si="136"/>
        <v>N</v>
      </c>
      <c r="T146" s="703" t="str">
        <f t="shared" si="137"/>
        <v>N</v>
      </c>
      <c r="U146" s="703" t="str">
        <f t="shared" si="125"/>
        <v>N</v>
      </c>
      <c r="V146" s="703" t="str">
        <f t="shared" si="126"/>
        <v>A</v>
      </c>
      <c r="W146" s="703" t="str">
        <f t="shared" si="138"/>
        <v>N</v>
      </c>
      <c r="X146" s="703" t="str">
        <f t="shared" si="128"/>
        <v>N</v>
      </c>
      <c r="Y146" s="703" t="str">
        <f t="shared" si="129"/>
        <v>N</v>
      </c>
      <c r="Z146" s="703" t="str">
        <f t="shared" si="139"/>
        <v>N</v>
      </c>
      <c r="AA146" s="703" t="str">
        <f t="shared" si="131"/>
        <v>A</v>
      </c>
      <c r="AB146" s="703" t="str">
        <f t="shared" si="144"/>
        <v>N</v>
      </c>
      <c r="AC146" s="703" t="str">
        <f t="shared" si="144"/>
        <v>N</v>
      </c>
      <c r="AD146" s="804"/>
      <c r="AE146" s="804"/>
      <c r="AF146" s="791"/>
      <c r="AG146" s="798"/>
      <c r="AH146" s="928"/>
      <c r="AI146" s="732"/>
      <c r="AJ146" s="733"/>
    </row>
    <row r="147" spans="1:52" hidden="1" outlineLevel="1" x14ac:dyDescent="0.25">
      <c r="A147" s="159"/>
      <c r="B147" s="1359"/>
      <c r="C147" s="667" t="str">
        <f>'Optimalizačné opatrenia'!$B$11</f>
        <v>Analyzovatelnosť</v>
      </c>
      <c r="D147" s="718" t="s">
        <v>530</v>
      </c>
      <c r="E147" s="703" t="s">
        <v>530</v>
      </c>
      <c r="F147" s="703" t="s">
        <v>530</v>
      </c>
      <c r="G147" s="703" t="str">
        <f t="shared" si="118"/>
        <v>A</v>
      </c>
      <c r="H147" s="703"/>
      <c r="I147" s="703"/>
      <c r="J147" s="703"/>
      <c r="K147" s="703"/>
      <c r="L147" s="703" t="str">
        <f t="shared" ref="L147:M147" si="157">L133</f>
        <v>A</v>
      </c>
      <c r="M147" s="703" t="str">
        <f t="shared" si="157"/>
        <v>A</v>
      </c>
      <c r="N147" s="703" t="str">
        <f t="shared" si="134"/>
        <v>A</v>
      </c>
      <c r="O147" s="703"/>
      <c r="P147" s="703" t="str">
        <f t="shared" ref="P147:Q147" si="158">P119</f>
        <v>A</v>
      </c>
      <c r="Q147" s="703" t="str">
        <f t="shared" si="158"/>
        <v>A</v>
      </c>
      <c r="R147" s="703" t="str">
        <f t="shared" si="122"/>
        <v>A</v>
      </c>
      <c r="S147" s="703" t="str">
        <f t="shared" si="136"/>
        <v>A</v>
      </c>
      <c r="T147" s="703" t="str">
        <f t="shared" si="137"/>
        <v>A</v>
      </c>
      <c r="U147" s="703" t="str">
        <f t="shared" si="125"/>
        <v>A</v>
      </c>
      <c r="V147" s="703" t="str">
        <f t="shared" si="126"/>
        <v>A</v>
      </c>
      <c r="W147" s="703" t="str">
        <f t="shared" si="138"/>
        <v>A</v>
      </c>
      <c r="X147" s="703" t="str">
        <f t="shared" si="128"/>
        <v>A</v>
      </c>
      <c r="Y147" s="703" t="str">
        <f t="shared" si="129"/>
        <v>A</v>
      </c>
      <c r="Z147" s="703" t="str">
        <f t="shared" si="139"/>
        <v>A</v>
      </c>
      <c r="AA147" s="703" t="str">
        <f t="shared" si="131"/>
        <v>A</v>
      </c>
      <c r="AB147" s="703" t="str">
        <f t="shared" si="144"/>
        <v>A</v>
      </c>
      <c r="AC147" s="703" t="str">
        <f t="shared" si="144"/>
        <v>A</v>
      </c>
      <c r="AD147" s="804"/>
      <c r="AE147" s="804"/>
      <c r="AF147" s="791"/>
      <c r="AG147" s="798"/>
      <c r="AH147" s="928"/>
      <c r="AI147" s="732"/>
      <c r="AJ147" s="733"/>
    </row>
    <row r="148" spans="1:52" hidden="1" outlineLevel="1" x14ac:dyDescent="0.25">
      <c r="A148" s="159"/>
      <c r="B148" s="1359"/>
      <c r="C148" s="667" t="str">
        <f>'Optimalizačné opatrenia'!$B$12</f>
        <v>Integrácia</v>
      </c>
      <c r="D148" s="718" t="s">
        <v>530</v>
      </c>
      <c r="E148" s="703" t="s">
        <v>530</v>
      </c>
      <c r="F148" s="703" t="s">
        <v>530</v>
      </c>
      <c r="G148" s="703" t="str">
        <f t="shared" si="118"/>
        <v>A</v>
      </c>
      <c r="H148" s="703"/>
      <c r="I148" s="703"/>
      <c r="J148" s="703"/>
      <c r="K148" s="703"/>
      <c r="L148" s="703" t="str">
        <f t="shared" ref="L148:M148" si="159">L134</f>
        <v>A</v>
      </c>
      <c r="M148" s="703" t="str">
        <f t="shared" si="159"/>
        <v>A</v>
      </c>
      <c r="N148" s="703" t="str">
        <f t="shared" si="134"/>
        <v>A</v>
      </c>
      <c r="O148" s="703"/>
      <c r="P148" s="703" t="str">
        <f t="shared" ref="P148:Q148" si="160">P120</f>
        <v>A</v>
      </c>
      <c r="Q148" s="703" t="str">
        <f t="shared" si="160"/>
        <v>A</v>
      </c>
      <c r="R148" s="703" t="str">
        <f t="shared" si="122"/>
        <v>A</v>
      </c>
      <c r="S148" s="703" t="str">
        <f t="shared" si="136"/>
        <v>A</v>
      </c>
      <c r="T148" s="703" t="str">
        <f t="shared" si="137"/>
        <v>A</v>
      </c>
      <c r="U148" s="703" t="str">
        <f t="shared" si="125"/>
        <v>A</v>
      </c>
      <c r="V148" s="703" t="str">
        <f t="shared" si="126"/>
        <v>A</v>
      </c>
      <c r="W148" s="703" t="str">
        <f t="shared" si="138"/>
        <v>A</v>
      </c>
      <c r="X148" s="703" t="str">
        <f t="shared" si="128"/>
        <v>A</v>
      </c>
      <c r="Y148" s="703" t="str">
        <f t="shared" si="129"/>
        <v>A</v>
      </c>
      <c r="Z148" s="703" t="str">
        <f t="shared" si="139"/>
        <v>A</v>
      </c>
      <c r="AA148" s="703" t="str">
        <f t="shared" si="131"/>
        <v>A</v>
      </c>
      <c r="AB148" s="703" t="str">
        <f t="shared" si="144"/>
        <v>A</v>
      </c>
      <c r="AC148" s="703" t="str">
        <f t="shared" si="144"/>
        <v>A</v>
      </c>
      <c r="AD148" s="804"/>
      <c r="AE148" s="804"/>
      <c r="AF148" s="791"/>
      <c r="AG148" s="798"/>
      <c r="AH148" s="928"/>
      <c r="AI148" s="732"/>
      <c r="AJ148" s="733"/>
    </row>
    <row r="149" spans="1:52" hidden="1" outlineLevel="1" x14ac:dyDescent="0.25">
      <c r="A149" s="159"/>
      <c r="B149" s="1359"/>
      <c r="C149" s="672" t="str">
        <f>'Optimalizačné opatrenia'!$B$13</f>
        <v>Proaktivita</v>
      </c>
      <c r="D149" s="718" t="s">
        <v>530</v>
      </c>
      <c r="E149" s="703" t="s">
        <v>530</v>
      </c>
      <c r="F149" s="703" t="s">
        <v>530</v>
      </c>
      <c r="G149" s="703" t="str">
        <f t="shared" si="118"/>
        <v>N</v>
      </c>
      <c r="H149" s="703"/>
      <c r="I149" s="703"/>
      <c r="J149" s="703"/>
      <c r="K149" s="703"/>
      <c r="L149" s="703" t="str">
        <f t="shared" ref="L149:M149" si="161">L135</f>
        <v>A</v>
      </c>
      <c r="M149" s="703" t="str">
        <f t="shared" si="161"/>
        <v>N</v>
      </c>
      <c r="N149" s="703" t="str">
        <f t="shared" si="134"/>
        <v>N</v>
      </c>
      <c r="O149" s="703"/>
      <c r="P149" s="703" t="str">
        <f t="shared" ref="P149:Q149" si="162">P121</f>
        <v>N</v>
      </c>
      <c r="Q149" s="703" t="str">
        <f t="shared" si="162"/>
        <v>N</v>
      </c>
      <c r="R149" s="703" t="str">
        <f t="shared" si="122"/>
        <v>A</v>
      </c>
      <c r="S149" s="703" t="str">
        <f t="shared" si="136"/>
        <v>A</v>
      </c>
      <c r="T149" s="703" t="str">
        <f t="shared" si="137"/>
        <v>A</v>
      </c>
      <c r="U149" s="703" t="str">
        <f t="shared" si="125"/>
        <v>N</v>
      </c>
      <c r="V149" s="703" t="str">
        <f t="shared" si="126"/>
        <v>A</v>
      </c>
      <c r="W149" s="703" t="str">
        <f t="shared" si="138"/>
        <v>N</v>
      </c>
      <c r="X149" s="703" t="str">
        <f t="shared" si="128"/>
        <v>N</v>
      </c>
      <c r="Y149" s="703" t="str">
        <f t="shared" si="129"/>
        <v>A</v>
      </c>
      <c r="Z149" s="703" t="str">
        <f t="shared" si="139"/>
        <v>A</v>
      </c>
      <c r="AA149" s="703" t="str">
        <f t="shared" si="131"/>
        <v>A</v>
      </c>
      <c r="AB149" s="703" t="str">
        <f t="shared" si="144"/>
        <v>A</v>
      </c>
      <c r="AC149" s="703" t="str">
        <f t="shared" si="144"/>
        <v>A</v>
      </c>
      <c r="AD149" s="804"/>
      <c r="AE149" s="804"/>
      <c r="AF149" s="791"/>
      <c r="AG149" s="798"/>
      <c r="AH149" s="928"/>
      <c r="AI149" s="732"/>
      <c r="AJ149" s="733"/>
    </row>
    <row r="150" spans="1:52" hidden="1" outlineLevel="1" x14ac:dyDescent="0.25">
      <c r="A150" s="159"/>
      <c r="B150" s="720"/>
      <c r="C150" s="722" t="s">
        <v>538</v>
      </c>
      <c r="D150" s="723">
        <v>0</v>
      </c>
      <c r="E150" s="721">
        <v>0</v>
      </c>
      <c r="F150" s="724">
        <v>0</v>
      </c>
      <c r="G150" s="724">
        <f t="shared" si="118"/>
        <v>0.3</v>
      </c>
      <c r="H150" s="724"/>
      <c r="I150" s="724"/>
      <c r="J150" s="724"/>
      <c r="K150" s="724"/>
      <c r="L150" s="724">
        <f t="shared" ref="L150:M150" si="163">L136</f>
        <v>0.4</v>
      </c>
      <c r="M150" s="724">
        <f t="shared" si="163"/>
        <v>0.3</v>
      </c>
      <c r="N150" s="724">
        <f t="shared" si="134"/>
        <v>0.3</v>
      </c>
      <c r="O150" s="724"/>
      <c r="P150" s="724">
        <f t="shared" ref="P150:Q150" si="164">P122</f>
        <v>0.45</v>
      </c>
      <c r="Q150" s="724">
        <f t="shared" si="164"/>
        <v>0.3</v>
      </c>
      <c r="R150" s="724">
        <f t="shared" si="122"/>
        <v>0.4</v>
      </c>
      <c r="S150" s="724">
        <f t="shared" si="136"/>
        <v>0.4</v>
      </c>
      <c r="T150" s="724">
        <f t="shared" si="137"/>
        <v>0.4</v>
      </c>
      <c r="U150" s="724">
        <f t="shared" si="125"/>
        <v>0.3</v>
      </c>
      <c r="V150" s="724">
        <f t="shared" si="126"/>
        <v>0.5</v>
      </c>
      <c r="W150" s="724">
        <f t="shared" si="138"/>
        <v>0.3</v>
      </c>
      <c r="X150" s="724">
        <f t="shared" si="128"/>
        <v>0.3</v>
      </c>
      <c r="Y150" s="724">
        <f t="shared" si="129"/>
        <v>0.4</v>
      </c>
      <c r="Z150" s="724">
        <f t="shared" si="139"/>
        <v>0.4</v>
      </c>
      <c r="AA150" s="724">
        <f t="shared" si="131"/>
        <v>0.5</v>
      </c>
      <c r="AB150" s="724">
        <f t="shared" si="144"/>
        <v>0.4</v>
      </c>
      <c r="AC150" s="724">
        <f t="shared" si="144"/>
        <v>0.4</v>
      </c>
      <c r="AD150" s="805"/>
      <c r="AE150" s="805"/>
      <c r="AF150" s="792"/>
      <c r="AG150" s="799"/>
      <c r="AH150" s="929"/>
      <c r="AI150" s="735"/>
      <c r="AJ150" s="736"/>
    </row>
    <row r="151" spans="1:52" ht="55.35" customHeight="1" collapsed="1" x14ac:dyDescent="0.25">
      <c r="A151" s="159">
        <f ca="1">OFFSET(A151,-14,0)+1</f>
        <v>11</v>
      </c>
      <c r="B151" s="234" t="str">
        <f ca="1">'Procesy - AS IS'!B39</f>
        <v>Meranie č. 11</v>
      </c>
      <c r="C151" s="650" t="str">
        <f>'Procesy - AS IS'!C39</f>
        <v>3U, s.r.o. Bratislava - výrobca regulovaných výrobkov, Kontrola kvality regulovaných výrobkov, 6765-25699/33/2018/Tom</v>
      </c>
      <c r="D151" s="726">
        <f>-'Procesy - AS IS'!D41*D164</f>
        <v>0</v>
      </c>
      <c r="E151" s="653">
        <f>-'Procesy - AS IS'!E41*E164</f>
        <v>0</v>
      </c>
      <c r="F151" s="653">
        <f>-'Procesy - AS IS'!F41*F164</f>
        <v>0</v>
      </c>
      <c r="G151" s="653">
        <f>-'Procesy - AS IS'!G41*G164</f>
        <v>-2.4</v>
      </c>
      <c r="H151" s="653" t="s">
        <v>555</v>
      </c>
      <c r="I151" s="653" t="s">
        <v>555</v>
      </c>
      <c r="J151" s="653" t="s">
        <v>555</v>
      </c>
      <c r="K151" s="653" t="s">
        <v>555</v>
      </c>
      <c r="L151" s="653">
        <f>-'Procesy - AS IS'!L41*L164</f>
        <v>-0.1</v>
      </c>
      <c r="M151" s="653">
        <f>-'Procesy - AS IS'!M41*M164</f>
        <v>-0.89999999999999991</v>
      </c>
      <c r="N151" s="653">
        <f>-'Procesy - AS IS'!N41*N164</f>
        <v>0</v>
      </c>
      <c r="O151" s="653" t="s">
        <v>559</v>
      </c>
      <c r="P151" s="653">
        <f>-'Procesy - AS IS'!P41*P164</f>
        <v>-0.45</v>
      </c>
      <c r="Q151" s="653">
        <f>-'Procesy - AS IS'!Q41*Q164</f>
        <v>0</v>
      </c>
      <c r="R151" s="653">
        <f>-'Procesy - AS IS'!R41*R164</f>
        <v>0</v>
      </c>
      <c r="S151" s="653">
        <f>-'Procesy - AS IS'!S41*S164</f>
        <v>-3.2</v>
      </c>
      <c r="T151" s="653">
        <f>-'Procesy - AS IS'!T41*T164</f>
        <v>0</v>
      </c>
      <c r="U151" s="653">
        <f>-'Procesy - AS IS'!U41*U164</f>
        <v>-2.4</v>
      </c>
      <c r="V151" s="653">
        <f>-'Procesy - AS IS'!V41*V164</f>
        <v>-0.5</v>
      </c>
      <c r="W151" s="653">
        <f>-'Procesy - AS IS'!W41*W164</f>
        <v>0</v>
      </c>
      <c r="X151" s="653">
        <f>-'Procesy - AS IS'!X41*X164</f>
        <v>0</v>
      </c>
      <c r="Y151" s="653">
        <f>-'Procesy - AS IS'!Y41*Y164</f>
        <v>0</v>
      </c>
      <c r="Z151" s="653">
        <f>-'Procesy - AS IS'!Z41*Z164</f>
        <v>0</v>
      </c>
      <c r="AA151" s="653">
        <f>-'Procesy - AS IS'!AA41*AA164</f>
        <v>0</v>
      </c>
      <c r="AB151" s="653">
        <f>-'Procesy - AS IS'!AB41*AB164</f>
        <v>0</v>
      </c>
      <c r="AC151" s="653">
        <f>-'Procesy - AS IS'!AC41*AC164</f>
        <v>0</v>
      </c>
      <c r="AD151" s="754"/>
      <c r="AE151" s="754">
        <f>SUM(D151:AC151)</f>
        <v>-9.9500000000000011</v>
      </c>
      <c r="AF151" s="728">
        <f>AE151/'Procesy - AS IS'!AD41</f>
        <v>-0.34017094017094018</v>
      </c>
      <c r="AG151" s="797">
        <f>('Procesy - AS IS'!AG41/(1+$AF151)-'Procesy - AS IS'!AG41)/2</f>
        <v>9.2797927461139906</v>
      </c>
      <c r="AH151" s="927">
        <f>('Procesy - AS IS'!AH41/(1+$AF151)-'Procesy - AS IS'!AH41)/2</f>
        <v>0</v>
      </c>
      <c r="AI151" s="730">
        <f>('Procesy - AS IS'!AI41/(1+$AF151)-'Procesy - AS IS'!AI41)/2</f>
        <v>0</v>
      </c>
      <c r="AJ151" s="731">
        <f>('Procesy - AS IS'!AJ41/(1+$AF151)-'Procesy - AS IS'!AJ41)/2</f>
        <v>0</v>
      </c>
      <c r="AL151" s="232"/>
      <c r="AZ151" s="227"/>
    </row>
    <row r="152" spans="1:52" hidden="1" outlineLevel="1" x14ac:dyDescent="0.25">
      <c r="A152" s="159"/>
      <c r="B152" s="1358" t="s">
        <v>528</v>
      </c>
      <c r="C152" s="667" t="str">
        <f>'Optimalizačné opatrenia'!$B$2</f>
        <v>Modernizácia</v>
      </c>
      <c r="D152" s="703" t="s">
        <v>530</v>
      </c>
      <c r="E152" s="674" t="s">
        <v>530</v>
      </c>
      <c r="F152" s="703" t="s">
        <v>530</v>
      </c>
      <c r="G152" s="703" t="str">
        <f t="shared" si="118"/>
        <v>A</v>
      </c>
      <c r="H152" s="703"/>
      <c r="I152" s="703"/>
      <c r="J152" s="703"/>
      <c r="K152" s="703"/>
      <c r="L152" s="703" t="str">
        <f t="shared" ref="L152:M152" si="165">L138</f>
        <v>A</v>
      </c>
      <c r="M152" s="703" t="str">
        <f t="shared" si="165"/>
        <v>A</v>
      </c>
      <c r="N152" s="703" t="str">
        <f t="shared" ref="N152:N164" si="166">G152</f>
        <v>A</v>
      </c>
      <c r="O152" s="703"/>
      <c r="P152" s="703" t="str">
        <f t="shared" ref="P152:Q152" si="167">P124</f>
        <v>A</v>
      </c>
      <c r="Q152" s="703" t="str">
        <f t="shared" si="167"/>
        <v>A</v>
      </c>
      <c r="R152" s="703" t="str">
        <f t="shared" si="122"/>
        <v>A</v>
      </c>
      <c r="S152" s="703" t="str">
        <f t="shared" ref="S152:S164" si="168">R152</f>
        <v>A</v>
      </c>
      <c r="T152" s="703" t="str">
        <f t="shared" ref="T152:T164" si="169">R124</f>
        <v>A</v>
      </c>
      <c r="U152" s="703" t="str">
        <f t="shared" si="125"/>
        <v>A</v>
      </c>
      <c r="V152" s="703" t="str">
        <f t="shared" si="126"/>
        <v>A</v>
      </c>
      <c r="W152" s="703" t="str">
        <f t="shared" ref="W152:W164" si="170">W38</f>
        <v>A</v>
      </c>
      <c r="X152" s="703" t="str">
        <f t="shared" si="128"/>
        <v>A</v>
      </c>
      <c r="Y152" s="703" t="str">
        <f t="shared" si="129"/>
        <v>A</v>
      </c>
      <c r="Z152" s="703" t="str">
        <f t="shared" ref="Z152:Z164" si="171">R124</f>
        <v>A</v>
      </c>
      <c r="AA152" s="703" t="str">
        <f t="shared" si="131"/>
        <v>A</v>
      </c>
      <c r="AB152" s="703" t="str">
        <f t="shared" ref="AB152:AC164" si="172">$R152</f>
        <v>A</v>
      </c>
      <c r="AC152" s="703" t="str">
        <f t="shared" si="172"/>
        <v>A</v>
      </c>
      <c r="AD152" s="804"/>
      <c r="AE152" s="804"/>
      <c r="AF152" s="791"/>
      <c r="AG152" s="798"/>
      <c r="AH152" s="928"/>
      <c r="AI152" s="732"/>
      <c r="AJ152" s="733"/>
    </row>
    <row r="153" spans="1:52" hidden="1" outlineLevel="1" x14ac:dyDescent="0.25">
      <c r="A153" s="159"/>
      <c r="B153" s="1359"/>
      <c r="C153" s="667" t="str">
        <f>'Optimalizačné opatrenia'!$B$3</f>
        <v>Sfunkčnenie</v>
      </c>
      <c r="D153" s="718" t="s">
        <v>530</v>
      </c>
      <c r="E153" s="703" t="s">
        <v>530</v>
      </c>
      <c r="F153" s="703" t="s">
        <v>530</v>
      </c>
      <c r="G153" s="703" t="str">
        <f t="shared" si="118"/>
        <v>N</v>
      </c>
      <c r="H153" s="703"/>
      <c r="I153" s="703"/>
      <c r="J153" s="703"/>
      <c r="K153" s="703"/>
      <c r="L153" s="703" t="str">
        <f t="shared" ref="L153:M153" si="173">L139</f>
        <v>N</v>
      </c>
      <c r="M153" s="703" t="str">
        <f t="shared" si="173"/>
        <v>N</v>
      </c>
      <c r="N153" s="703" t="str">
        <f t="shared" si="166"/>
        <v>N</v>
      </c>
      <c r="O153" s="703"/>
      <c r="P153" s="703" t="str">
        <f t="shared" ref="P153:Q153" si="174">P125</f>
        <v>N</v>
      </c>
      <c r="Q153" s="703" t="str">
        <f t="shared" si="174"/>
        <v>N</v>
      </c>
      <c r="R153" s="703" t="str">
        <f t="shared" si="122"/>
        <v>N</v>
      </c>
      <c r="S153" s="703" t="str">
        <f t="shared" si="168"/>
        <v>N</v>
      </c>
      <c r="T153" s="703" t="str">
        <f t="shared" si="169"/>
        <v>N</v>
      </c>
      <c r="U153" s="703" t="str">
        <f t="shared" si="125"/>
        <v>N</v>
      </c>
      <c r="V153" s="703" t="str">
        <f t="shared" si="126"/>
        <v>N</v>
      </c>
      <c r="W153" s="703" t="str">
        <f t="shared" si="170"/>
        <v>N</v>
      </c>
      <c r="X153" s="703" t="str">
        <f t="shared" si="128"/>
        <v>N</v>
      </c>
      <c r="Y153" s="703" t="str">
        <f t="shared" si="129"/>
        <v>N</v>
      </c>
      <c r="Z153" s="703" t="str">
        <f t="shared" si="171"/>
        <v>N</v>
      </c>
      <c r="AA153" s="703" t="str">
        <f t="shared" si="131"/>
        <v>N</v>
      </c>
      <c r="AB153" s="703" t="str">
        <f t="shared" si="172"/>
        <v>N</v>
      </c>
      <c r="AC153" s="703" t="str">
        <f t="shared" si="172"/>
        <v>N</v>
      </c>
      <c r="AD153" s="804"/>
      <c r="AE153" s="804"/>
      <c r="AF153" s="791"/>
      <c r="AG153" s="798"/>
      <c r="AH153" s="928"/>
      <c r="AI153" s="732"/>
      <c r="AJ153" s="733"/>
    </row>
    <row r="154" spans="1:52" hidden="1" outlineLevel="1" x14ac:dyDescent="0.25">
      <c r="A154" s="159"/>
      <c r="B154" s="1359"/>
      <c r="C154" s="667" t="str">
        <f>'Optimalizačné opatrenia'!$B$4</f>
        <v>Zjednotenie</v>
      </c>
      <c r="D154" s="718" t="s">
        <v>530</v>
      </c>
      <c r="E154" s="703" t="s">
        <v>530</v>
      </c>
      <c r="F154" s="703" t="s">
        <v>530</v>
      </c>
      <c r="G154" s="703" t="str">
        <f t="shared" si="118"/>
        <v>A</v>
      </c>
      <c r="H154" s="703"/>
      <c r="I154" s="703"/>
      <c r="J154" s="703"/>
      <c r="K154" s="703"/>
      <c r="L154" s="703" t="str">
        <f t="shared" ref="L154:M154" si="175">L140</f>
        <v>A</v>
      </c>
      <c r="M154" s="703" t="str">
        <f t="shared" si="175"/>
        <v>A</v>
      </c>
      <c r="N154" s="703" t="str">
        <f t="shared" si="166"/>
        <v>A</v>
      </c>
      <c r="O154" s="703"/>
      <c r="P154" s="703" t="str">
        <f t="shared" ref="P154:Q154" si="176">P126</f>
        <v>A</v>
      </c>
      <c r="Q154" s="703" t="str">
        <f t="shared" si="176"/>
        <v>A</v>
      </c>
      <c r="R154" s="703" t="str">
        <f t="shared" si="122"/>
        <v>A</v>
      </c>
      <c r="S154" s="703" t="str">
        <f t="shared" si="168"/>
        <v>A</v>
      </c>
      <c r="T154" s="703" t="str">
        <f t="shared" si="169"/>
        <v>A</v>
      </c>
      <c r="U154" s="703" t="str">
        <f t="shared" si="125"/>
        <v>A</v>
      </c>
      <c r="V154" s="703" t="str">
        <f t="shared" si="126"/>
        <v>A</v>
      </c>
      <c r="W154" s="703" t="str">
        <f t="shared" si="170"/>
        <v>A</v>
      </c>
      <c r="X154" s="703" t="str">
        <f t="shared" si="128"/>
        <v>A</v>
      </c>
      <c r="Y154" s="703" t="str">
        <f t="shared" si="129"/>
        <v>A</v>
      </c>
      <c r="Z154" s="703" t="str">
        <f t="shared" si="171"/>
        <v>A</v>
      </c>
      <c r="AA154" s="703" t="str">
        <f t="shared" si="131"/>
        <v>A</v>
      </c>
      <c r="AB154" s="703" t="str">
        <f t="shared" si="172"/>
        <v>A</v>
      </c>
      <c r="AC154" s="703" t="str">
        <f t="shared" si="172"/>
        <v>A</v>
      </c>
      <c r="AD154" s="804"/>
      <c r="AE154" s="804"/>
      <c r="AF154" s="791"/>
      <c r="AG154" s="798"/>
      <c r="AH154" s="928"/>
      <c r="AI154" s="732"/>
      <c r="AJ154" s="733"/>
    </row>
    <row r="155" spans="1:52" hidden="1" outlineLevel="1" x14ac:dyDescent="0.25">
      <c r="A155" s="159"/>
      <c r="B155" s="1359"/>
      <c r="C155" s="667" t="str">
        <f>'Optimalizačné opatrenia'!$B$5</f>
        <v>Centralizácia</v>
      </c>
      <c r="D155" s="718" t="s">
        <v>530</v>
      </c>
      <c r="E155" s="703" t="s">
        <v>530</v>
      </c>
      <c r="F155" s="703" t="s">
        <v>530</v>
      </c>
      <c r="G155" s="703" t="str">
        <f t="shared" si="118"/>
        <v>A</v>
      </c>
      <c r="H155" s="703"/>
      <c r="I155" s="703"/>
      <c r="J155" s="703"/>
      <c r="K155" s="703"/>
      <c r="L155" s="703" t="str">
        <f t="shared" ref="L155:M155" si="177">L141</f>
        <v>A</v>
      </c>
      <c r="M155" s="703" t="str">
        <f t="shared" si="177"/>
        <v>A</v>
      </c>
      <c r="N155" s="703" t="str">
        <f t="shared" si="166"/>
        <v>A</v>
      </c>
      <c r="O155" s="703"/>
      <c r="P155" s="703" t="str">
        <f t="shared" ref="P155:Q155" si="178">P127</f>
        <v>A</v>
      </c>
      <c r="Q155" s="703" t="str">
        <f t="shared" si="178"/>
        <v>A</v>
      </c>
      <c r="R155" s="703" t="str">
        <f t="shared" si="122"/>
        <v>A</v>
      </c>
      <c r="S155" s="703" t="str">
        <f t="shared" si="168"/>
        <v>A</v>
      </c>
      <c r="T155" s="703" t="str">
        <f t="shared" si="169"/>
        <v>A</v>
      </c>
      <c r="U155" s="703" t="str">
        <f t="shared" si="125"/>
        <v>A</v>
      </c>
      <c r="V155" s="703" t="str">
        <f t="shared" si="126"/>
        <v>A</v>
      </c>
      <c r="W155" s="703" t="str">
        <f t="shared" si="170"/>
        <v>A</v>
      </c>
      <c r="X155" s="703" t="str">
        <f t="shared" si="128"/>
        <v>A</v>
      </c>
      <c r="Y155" s="703" t="str">
        <f t="shared" si="129"/>
        <v>A</v>
      </c>
      <c r="Z155" s="703" t="str">
        <f t="shared" si="171"/>
        <v>A</v>
      </c>
      <c r="AA155" s="703" t="str">
        <f t="shared" si="131"/>
        <v>A</v>
      </c>
      <c r="AB155" s="703" t="str">
        <f t="shared" si="172"/>
        <v>A</v>
      </c>
      <c r="AC155" s="703" t="str">
        <f t="shared" si="172"/>
        <v>A</v>
      </c>
      <c r="AD155" s="804"/>
      <c r="AE155" s="804"/>
      <c r="AF155" s="791"/>
      <c r="AG155" s="798"/>
      <c r="AH155" s="928"/>
      <c r="AI155" s="732"/>
      <c r="AJ155" s="733"/>
    </row>
    <row r="156" spans="1:52" hidden="1" outlineLevel="1" x14ac:dyDescent="0.25">
      <c r="A156" s="159"/>
      <c r="B156" s="1359"/>
      <c r="C156" s="667" t="str">
        <f>'Optimalizačné opatrenia'!$B$6</f>
        <v>Elektronizácia</v>
      </c>
      <c r="D156" s="718" t="s">
        <v>530</v>
      </c>
      <c r="E156" s="703" t="s">
        <v>530</v>
      </c>
      <c r="F156" s="703" t="s">
        <v>530</v>
      </c>
      <c r="G156" s="703" t="str">
        <f t="shared" si="118"/>
        <v>A</v>
      </c>
      <c r="H156" s="703"/>
      <c r="I156" s="703"/>
      <c r="J156" s="703"/>
      <c r="K156" s="703"/>
      <c r="L156" s="703" t="str">
        <f t="shared" ref="L156:M156" si="179">L142</f>
        <v>A</v>
      </c>
      <c r="M156" s="703" t="str">
        <f t="shared" si="179"/>
        <v>A</v>
      </c>
      <c r="N156" s="703" t="str">
        <f t="shared" si="166"/>
        <v>A</v>
      </c>
      <c r="O156" s="703"/>
      <c r="P156" s="703" t="str">
        <f t="shared" ref="P156:Q156" si="180">P128</f>
        <v>A</v>
      </c>
      <c r="Q156" s="703" t="str">
        <f t="shared" si="180"/>
        <v>A</v>
      </c>
      <c r="R156" s="703" t="str">
        <f t="shared" si="122"/>
        <v>A</v>
      </c>
      <c r="S156" s="703" t="str">
        <f t="shared" si="168"/>
        <v>A</v>
      </c>
      <c r="T156" s="703" t="str">
        <f t="shared" si="169"/>
        <v>A</v>
      </c>
      <c r="U156" s="703" t="str">
        <f t="shared" si="125"/>
        <v>A</v>
      </c>
      <c r="V156" s="703" t="str">
        <f t="shared" si="126"/>
        <v>A</v>
      </c>
      <c r="W156" s="703" t="str">
        <f t="shared" si="170"/>
        <v>A</v>
      </c>
      <c r="X156" s="703" t="str">
        <f t="shared" si="128"/>
        <v>A</v>
      </c>
      <c r="Y156" s="703" t="str">
        <f t="shared" si="129"/>
        <v>A</v>
      </c>
      <c r="Z156" s="703" t="str">
        <f t="shared" si="171"/>
        <v>A</v>
      </c>
      <c r="AA156" s="703" t="str">
        <f t="shared" si="131"/>
        <v>A</v>
      </c>
      <c r="AB156" s="703" t="str">
        <f t="shared" si="172"/>
        <v>A</v>
      </c>
      <c r="AC156" s="703" t="str">
        <f t="shared" si="172"/>
        <v>A</v>
      </c>
      <c r="AD156" s="804"/>
      <c r="AE156" s="804"/>
      <c r="AF156" s="791"/>
      <c r="AG156" s="798"/>
      <c r="AH156" s="928"/>
      <c r="AI156" s="732"/>
      <c r="AJ156" s="733"/>
    </row>
    <row r="157" spans="1:52" hidden="1" outlineLevel="1" x14ac:dyDescent="0.25">
      <c r="A157" s="159"/>
      <c r="B157" s="1359"/>
      <c r="C157" s="667" t="str">
        <f>'Optimalizačné opatrenia'!$B$7</f>
        <v>Automatizácia</v>
      </c>
      <c r="D157" s="718" t="s">
        <v>530</v>
      </c>
      <c r="E157" s="703" t="s">
        <v>530</v>
      </c>
      <c r="F157" s="703" t="s">
        <v>530</v>
      </c>
      <c r="G157" s="703" t="str">
        <f t="shared" si="118"/>
        <v>A</v>
      </c>
      <c r="H157" s="703"/>
      <c r="I157" s="703"/>
      <c r="J157" s="703"/>
      <c r="K157" s="703"/>
      <c r="L157" s="703" t="str">
        <f t="shared" ref="L157:M157" si="181">L143</f>
        <v>A</v>
      </c>
      <c r="M157" s="703" t="str">
        <f t="shared" si="181"/>
        <v>A</v>
      </c>
      <c r="N157" s="703" t="str">
        <f t="shared" si="166"/>
        <v>A</v>
      </c>
      <c r="O157" s="703"/>
      <c r="P157" s="703" t="str">
        <f t="shared" ref="P157:Q157" si="182">P129</f>
        <v>A</v>
      </c>
      <c r="Q157" s="703" t="str">
        <f t="shared" si="182"/>
        <v>A</v>
      </c>
      <c r="R157" s="703" t="str">
        <f t="shared" si="122"/>
        <v>A</v>
      </c>
      <c r="S157" s="703" t="str">
        <f t="shared" si="168"/>
        <v>A</v>
      </c>
      <c r="T157" s="703" t="str">
        <f t="shared" si="169"/>
        <v>A</v>
      </c>
      <c r="U157" s="703" t="str">
        <f t="shared" si="125"/>
        <v>A</v>
      </c>
      <c r="V157" s="703" t="str">
        <f t="shared" si="126"/>
        <v>A</v>
      </c>
      <c r="W157" s="703" t="str">
        <f t="shared" si="170"/>
        <v>A</v>
      </c>
      <c r="X157" s="703" t="str">
        <f t="shared" si="128"/>
        <v>A</v>
      </c>
      <c r="Y157" s="703" t="str">
        <f t="shared" si="129"/>
        <v>A</v>
      </c>
      <c r="Z157" s="703" t="str">
        <f t="shared" si="171"/>
        <v>A</v>
      </c>
      <c r="AA157" s="703" t="str">
        <f t="shared" si="131"/>
        <v>A</v>
      </c>
      <c r="AB157" s="703" t="str">
        <f t="shared" si="172"/>
        <v>A</v>
      </c>
      <c r="AC157" s="703" t="str">
        <f t="shared" si="172"/>
        <v>A</v>
      </c>
      <c r="AD157" s="804"/>
      <c r="AE157" s="804"/>
      <c r="AF157" s="791"/>
      <c r="AG157" s="798"/>
      <c r="AH157" s="928"/>
      <c r="AI157" s="732"/>
      <c r="AJ157" s="733"/>
    </row>
    <row r="158" spans="1:52" hidden="1" outlineLevel="1" x14ac:dyDescent="0.25">
      <c r="A158" s="159"/>
      <c r="B158" s="1359"/>
      <c r="C158" s="667" t="str">
        <f>'Optimalizačné opatrenia'!$B$8</f>
        <v>Bezpečnosť</v>
      </c>
      <c r="D158" s="718" t="s">
        <v>530</v>
      </c>
      <c r="E158" s="703" t="s">
        <v>530</v>
      </c>
      <c r="F158" s="703" t="s">
        <v>530</v>
      </c>
      <c r="G158" s="703" t="str">
        <f t="shared" si="118"/>
        <v>A</v>
      </c>
      <c r="H158" s="703"/>
      <c r="I158" s="703"/>
      <c r="J158" s="703"/>
      <c r="K158" s="703"/>
      <c r="L158" s="703" t="str">
        <f t="shared" ref="L158:M158" si="183">L144</f>
        <v>A</v>
      </c>
      <c r="M158" s="703" t="str">
        <f t="shared" si="183"/>
        <v>A</v>
      </c>
      <c r="N158" s="703" t="str">
        <f t="shared" si="166"/>
        <v>A</v>
      </c>
      <c r="O158" s="703"/>
      <c r="P158" s="703" t="str">
        <f t="shared" ref="P158:Q158" si="184">P130</f>
        <v>A</v>
      </c>
      <c r="Q158" s="703" t="str">
        <f t="shared" si="184"/>
        <v>A</v>
      </c>
      <c r="R158" s="703" t="str">
        <f t="shared" si="122"/>
        <v>A</v>
      </c>
      <c r="S158" s="703" t="str">
        <f t="shared" si="168"/>
        <v>A</v>
      </c>
      <c r="T158" s="703" t="str">
        <f t="shared" si="169"/>
        <v>A</v>
      </c>
      <c r="U158" s="703" t="str">
        <f t="shared" si="125"/>
        <v>A</v>
      </c>
      <c r="V158" s="703" t="str">
        <f t="shared" si="126"/>
        <v>A</v>
      </c>
      <c r="W158" s="703" t="str">
        <f t="shared" si="170"/>
        <v>A</v>
      </c>
      <c r="X158" s="703" t="str">
        <f t="shared" si="128"/>
        <v>A</v>
      </c>
      <c r="Y158" s="703" t="str">
        <f t="shared" si="129"/>
        <v>A</v>
      </c>
      <c r="Z158" s="703" t="str">
        <f t="shared" si="171"/>
        <v>A</v>
      </c>
      <c r="AA158" s="703" t="str">
        <f t="shared" si="131"/>
        <v>A</v>
      </c>
      <c r="AB158" s="703" t="str">
        <f t="shared" si="172"/>
        <v>A</v>
      </c>
      <c r="AC158" s="703" t="str">
        <f t="shared" si="172"/>
        <v>A</v>
      </c>
      <c r="AD158" s="804"/>
      <c r="AE158" s="804"/>
      <c r="AF158" s="791"/>
      <c r="AG158" s="798"/>
      <c r="AH158" s="928"/>
      <c r="AI158" s="732"/>
      <c r="AJ158" s="733"/>
    </row>
    <row r="159" spans="1:52" hidden="1" outlineLevel="1" x14ac:dyDescent="0.25">
      <c r="A159" s="159"/>
      <c r="B159" s="1359"/>
      <c r="C159" s="667" t="str">
        <f>'Optimalizačné opatrenia'!$B$9</f>
        <v>Auditovateľnosť</v>
      </c>
      <c r="D159" s="718" t="s">
        <v>530</v>
      </c>
      <c r="E159" s="703" t="s">
        <v>530</v>
      </c>
      <c r="F159" s="703" t="s">
        <v>530</v>
      </c>
      <c r="G159" s="703" t="str">
        <f t="shared" si="118"/>
        <v>A</v>
      </c>
      <c r="H159" s="703"/>
      <c r="I159" s="703"/>
      <c r="J159" s="703"/>
      <c r="K159" s="703"/>
      <c r="L159" s="703" t="str">
        <f t="shared" ref="L159:M159" si="185">L145</f>
        <v>A</v>
      </c>
      <c r="M159" s="703" t="str">
        <f t="shared" si="185"/>
        <v>A</v>
      </c>
      <c r="N159" s="703" t="str">
        <f t="shared" si="166"/>
        <v>A</v>
      </c>
      <c r="O159" s="703"/>
      <c r="P159" s="703" t="str">
        <f t="shared" ref="P159:Q159" si="186">P131</f>
        <v>A</v>
      </c>
      <c r="Q159" s="703" t="str">
        <f t="shared" si="186"/>
        <v>A</v>
      </c>
      <c r="R159" s="703" t="str">
        <f t="shared" si="122"/>
        <v>A</v>
      </c>
      <c r="S159" s="703" t="str">
        <f t="shared" si="168"/>
        <v>A</v>
      </c>
      <c r="T159" s="703" t="str">
        <f t="shared" si="169"/>
        <v>A</v>
      </c>
      <c r="U159" s="703" t="str">
        <f t="shared" si="125"/>
        <v>A</v>
      </c>
      <c r="V159" s="703" t="str">
        <f t="shared" si="126"/>
        <v>A</v>
      </c>
      <c r="W159" s="703" t="str">
        <f t="shared" si="170"/>
        <v>A</v>
      </c>
      <c r="X159" s="703" t="str">
        <f t="shared" si="128"/>
        <v>A</v>
      </c>
      <c r="Y159" s="703" t="str">
        <f t="shared" si="129"/>
        <v>A</v>
      </c>
      <c r="Z159" s="703" t="str">
        <f t="shared" si="171"/>
        <v>A</v>
      </c>
      <c r="AA159" s="703" t="str">
        <f t="shared" si="131"/>
        <v>A</v>
      </c>
      <c r="AB159" s="703" t="str">
        <f t="shared" si="172"/>
        <v>A</v>
      </c>
      <c r="AC159" s="703" t="str">
        <f t="shared" si="172"/>
        <v>A</v>
      </c>
      <c r="AD159" s="804"/>
      <c r="AE159" s="804"/>
      <c r="AF159" s="791"/>
      <c r="AG159" s="798"/>
      <c r="AH159" s="928"/>
      <c r="AI159" s="732"/>
      <c r="AJ159" s="733"/>
    </row>
    <row r="160" spans="1:52" hidden="1" outlineLevel="1" x14ac:dyDescent="0.25">
      <c r="A160" s="159"/>
      <c r="B160" s="1359"/>
      <c r="C160" s="667" t="str">
        <f>'Optimalizačné opatrenia'!$B$10</f>
        <v>Transparentnosť</v>
      </c>
      <c r="D160" s="718" t="s">
        <v>530</v>
      </c>
      <c r="E160" s="703" t="s">
        <v>530</v>
      </c>
      <c r="F160" s="703" t="s">
        <v>530</v>
      </c>
      <c r="G160" s="703" t="str">
        <f t="shared" si="118"/>
        <v>N</v>
      </c>
      <c r="H160" s="703"/>
      <c r="I160" s="703"/>
      <c r="J160" s="703"/>
      <c r="K160" s="703"/>
      <c r="L160" s="703" t="str">
        <f t="shared" ref="L160:M160" si="187">L146</f>
        <v>N</v>
      </c>
      <c r="M160" s="703" t="str">
        <f t="shared" si="187"/>
        <v>N</v>
      </c>
      <c r="N160" s="703" t="str">
        <f t="shared" si="166"/>
        <v>N</v>
      </c>
      <c r="O160" s="703"/>
      <c r="P160" s="703" t="str">
        <f t="shared" ref="P160:Q160" si="188">P132</f>
        <v>A</v>
      </c>
      <c r="Q160" s="703" t="str">
        <f t="shared" si="188"/>
        <v>N</v>
      </c>
      <c r="R160" s="703" t="str">
        <f t="shared" si="122"/>
        <v>N</v>
      </c>
      <c r="S160" s="703" t="str">
        <f t="shared" si="168"/>
        <v>N</v>
      </c>
      <c r="T160" s="703" t="str">
        <f t="shared" si="169"/>
        <v>N</v>
      </c>
      <c r="U160" s="703" t="str">
        <f t="shared" si="125"/>
        <v>N</v>
      </c>
      <c r="V160" s="703" t="str">
        <f t="shared" si="126"/>
        <v>A</v>
      </c>
      <c r="W160" s="703" t="str">
        <f t="shared" si="170"/>
        <v>N</v>
      </c>
      <c r="X160" s="703" t="str">
        <f t="shared" si="128"/>
        <v>N</v>
      </c>
      <c r="Y160" s="703" t="str">
        <f t="shared" si="129"/>
        <v>N</v>
      </c>
      <c r="Z160" s="703" t="str">
        <f t="shared" si="171"/>
        <v>N</v>
      </c>
      <c r="AA160" s="703" t="str">
        <f t="shared" si="131"/>
        <v>A</v>
      </c>
      <c r="AB160" s="703" t="str">
        <f t="shared" si="172"/>
        <v>N</v>
      </c>
      <c r="AC160" s="703" t="str">
        <f t="shared" si="172"/>
        <v>N</v>
      </c>
      <c r="AD160" s="804"/>
      <c r="AE160" s="804"/>
      <c r="AF160" s="791"/>
      <c r="AG160" s="798"/>
      <c r="AH160" s="928"/>
      <c r="AI160" s="732"/>
      <c r="AJ160" s="733"/>
    </row>
    <row r="161" spans="1:52" hidden="1" outlineLevel="1" x14ac:dyDescent="0.25">
      <c r="A161" s="159"/>
      <c r="B161" s="1359"/>
      <c r="C161" s="667" t="str">
        <f>'Optimalizačné opatrenia'!$B$11</f>
        <v>Analyzovatelnosť</v>
      </c>
      <c r="D161" s="718" t="s">
        <v>530</v>
      </c>
      <c r="E161" s="703" t="s">
        <v>530</v>
      </c>
      <c r="F161" s="703" t="s">
        <v>530</v>
      </c>
      <c r="G161" s="703" t="str">
        <f t="shared" si="118"/>
        <v>A</v>
      </c>
      <c r="H161" s="703"/>
      <c r="I161" s="703"/>
      <c r="J161" s="703"/>
      <c r="K161" s="703"/>
      <c r="L161" s="703" t="str">
        <f t="shared" ref="L161:M161" si="189">L147</f>
        <v>A</v>
      </c>
      <c r="M161" s="703" t="str">
        <f t="shared" si="189"/>
        <v>A</v>
      </c>
      <c r="N161" s="703" t="str">
        <f t="shared" si="166"/>
        <v>A</v>
      </c>
      <c r="O161" s="703"/>
      <c r="P161" s="703" t="str">
        <f t="shared" ref="P161:Q161" si="190">P133</f>
        <v>A</v>
      </c>
      <c r="Q161" s="703" t="str">
        <f t="shared" si="190"/>
        <v>A</v>
      </c>
      <c r="R161" s="703" t="str">
        <f t="shared" si="122"/>
        <v>A</v>
      </c>
      <c r="S161" s="703" t="str">
        <f t="shared" si="168"/>
        <v>A</v>
      </c>
      <c r="T161" s="703" t="str">
        <f t="shared" si="169"/>
        <v>A</v>
      </c>
      <c r="U161" s="703" t="str">
        <f t="shared" si="125"/>
        <v>A</v>
      </c>
      <c r="V161" s="703" t="str">
        <f t="shared" si="126"/>
        <v>A</v>
      </c>
      <c r="W161" s="703" t="str">
        <f t="shared" si="170"/>
        <v>A</v>
      </c>
      <c r="X161" s="703" t="str">
        <f t="shared" si="128"/>
        <v>A</v>
      </c>
      <c r="Y161" s="703" t="str">
        <f t="shared" si="129"/>
        <v>A</v>
      </c>
      <c r="Z161" s="703" t="str">
        <f t="shared" si="171"/>
        <v>A</v>
      </c>
      <c r="AA161" s="703" t="str">
        <f t="shared" si="131"/>
        <v>A</v>
      </c>
      <c r="AB161" s="703" t="str">
        <f t="shared" si="172"/>
        <v>A</v>
      </c>
      <c r="AC161" s="703" t="str">
        <f t="shared" si="172"/>
        <v>A</v>
      </c>
      <c r="AD161" s="804"/>
      <c r="AE161" s="804"/>
      <c r="AF161" s="791"/>
      <c r="AG161" s="798"/>
      <c r="AH161" s="928"/>
      <c r="AI161" s="732"/>
      <c r="AJ161" s="733"/>
    </row>
    <row r="162" spans="1:52" hidden="1" outlineLevel="1" x14ac:dyDescent="0.25">
      <c r="A162" s="159"/>
      <c r="B162" s="1359"/>
      <c r="C162" s="667" t="str">
        <f>'Optimalizačné opatrenia'!$B$12</f>
        <v>Integrácia</v>
      </c>
      <c r="D162" s="718" t="s">
        <v>530</v>
      </c>
      <c r="E162" s="703" t="s">
        <v>530</v>
      </c>
      <c r="F162" s="703" t="s">
        <v>530</v>
      </c>
      <c r="G162" s="703" t="str">
        <f t="shared" si="118"/>
        <v>A</v>
      </c>
      <c r="H162" s="703"/>
      <c r="I162" s="703"/>
      <c r="J162" s="703"/>
      <c r="K162" s="703"/>
      <c r="L162" s="703" t="str">
        <f t="shared" ref="L162:M162" si="191">L148</f>
        <v>A</v>
      </c>
      <c r="M162" s="703" t="str">
        <f t="shared" si="191"/>
        <v>A</v>
      </c>
      <c r="N162" s="703" t="str">
        <f t="shared" si="166"/>
        <v>A</v>
      </c>
      <c r="O162" s="703"/>
      <c r="P162" s="703" t="str">
        <f t="shared" ref="P162:Q162" si="192">P134</f>
        <v>A</v>
      </c>
      <c r="Q162" s="703" t="str">
        <f t="shared" si="192"/>
        <v>A</v>
      </c>
      <c r="R162" s="703" t="str">
        <f t="shared" si="122"/>
        <v>A</v>
      </c>
      <c r="S162" s="703" t="str">
        <f t="shared" si="168"/>
        <v>A</v>
      </c>
      <c r="T162" s="703" t="str">
        <f t="shared" si="169"/>
        <v>A</v>
      </c>
      <c r="U162" s="703" t="str">
        <f t="shared" si="125"/>
        <v>A</v>
      </c>
      <c r="V162" s="703" t="str">
        <f t="shared" si="126"/>
        <v>A</v>
      </c>
      <c r="W162" s="703" t="str">
        <f t="shared" si="170"/>
        <v>A</v>
      </c>
      <c r="X162" s="703" t="str">
        <f t="shared" si="128"/>
        <v>A</v>
      </c>
      <c r="Y162" s="703" t="str">
        <f t="shared" si="129"/>
        <v>A</v>
      </c>
      <c r="Z162" s="703" t="str">
        <f t="shared" si="171"/>
        <v>A</v>
      </c>
      <c r="AA162" s="703" t="str">
        <f t="shared" si="131"/>
        <v>A</v>
      </c>
      <c r="AB162" s="703" t="str">
        <f t="shared" si="172"/>
        <v>A</v>
      </c>
      <c r="AC162" s="703" t="str">
        <f t="shared" si="172"/>
        <v>A</v>
      </c>
      <c r="AD162" s="804"/>
      <c r="AE162" s="804"/>
      <c r="AF162" s="791"/>
      <c r="AG162" s="798"/>
      <c r="AH162" s="928"/>
      <c r="AI162" s="732"/>
      <c r="AJ162" s="733"/>
    </row>
    <row r="163" spans="1:52" hidden="1" outlineLevel="1" x14ac:dyDescent="0.25">
      <c r="A163" s="159"/>
      <c r="B163" s="1359"/>
      <c r="C163" s="672" t="str">
        <f>'Optimalizačné opatrenia'!$B$13</f>
        <v>Proaktivita</v>
      </c>
      <c r="D163" s="718" t="s">
        <v>530</v>
      </c>
      <c r="E163" s="703" t="s">
        <v>530</v>
      </c>
      <c r="F163" s="703" t="s">
        <v>530</v>
      </c>
      <c r="G163" s="703" t="str">
        <f t="shared" si="118"/>
        <v>N</v>
      </c>
      <c r="H163" s="703"/>
      <c r="I163" s="703"/>
      <c r="J163" s="703"/>
      <c r="K163" s="703"/>
      <c r="L163" s="703" t="str">
        <f t="shared" ref="L163:M163" si="193">L149</f>
        <v>A</v>
      </c>
      <c r="M163" s="703" t="str">
        <f t="shared" si="193"/>
        <v>N</v>
      </c>
      <c r="N163" s="703" t="str">
        <f t="shared" si="166"/>
        <v>N</v>
      </c>
      <c r="O163" s="703"/>
      <c r="P163" s="703" t="str">
        <f t="shared" ref="P163:Q163" si="194">P135</f>
        <v>N</v>
      </c>
      <c r="Q163" s="703" t="str">
        <f t="shared" si="194"/>
        <v>N</v>
      </c>
      <c r="R163" s="703" t="str">
        <f t="shared" si="122"/>
        <v>A</v>
      </c>
      <c r="S163" s="703" t="str">
        <f t="shared" si="168"/>
        <v>A</v>
      </c>
      <c r="T163" s="703" t="str">
        <f t="shared" si="169"/>
        <v>A</v>
      </c>
      <c r="U163" s="703" t="str">
        <f t="shared" si="125"/>
        <v>N</v>
      </c>
      <c r="V163" s="703" t="str">
        <f t="shared" si="126"/>
        <v>A</v>
      </c>
      <c r="W163" s="703" t="str">
        <f t="shared" si="170"/>
        <v>N</v>
      </c>
      <c r="X163" s="703" t="str">
        <f t="shared" si="128"/>
        <v>N</v>
      </c>
      <c r="Y163" s="703" t="str">
        <f t="shared" si="129"/>
        <v>A</v>
      </c>
      <c r="Z163" s="703" t="str">
        <f t="shared" si="171"/>
        <v>A</v>
      </c>
      <c r="AA163" s="703" t="str">
        <f t="shared" si="131"/>
        <v>A</v>
      </c>
      <c r="AB163" s="703" t="str">
        <f t="shared" si="172"/>
        <v>A</v>
      </c>
      <c r="AC163" s="703" t="str">
        <f t="shared" si="172"/>
        <v>A</v>
      </c>
      <c r="AD163" s="804"/>
      <c r="AE163" s="804"/>
      <c r="AF163" s="791"/>
      <c r="AG163" s="798"/>
      <c r="AH163" s="928"/>
      <c r="AI163" s="732"/>
      <c r="AJ163" s="733"/>
    </row>
    <row r="164" spans="1:52" hidden="1" outlineLevel="1" x14ac:dyDescent="0.25">
      <c r="A164" s="159"/>
      <c r="B164" s="720"/>
      <c r="C164" s="722" t="s">
        <v>538</v>
      </c>
      <c r="D164" s="723">
        <v>0</v>
      </c>
      <c r="E164" s="721">
        <v>0</v>
      </c>
      <c r="F164" s="724">
        <v>0</v>
      </c>
      <c r="G164" s="724">
        <f t="shared" si="118"/>
        <v>0.3</v>
      </c>
      <c r="H164" s="724"/>
      <c r="I164" s="724"/>
      <c r="J164" s="724"/>
      <c r="K164" s="724"/>
      <c r="L164" s="724">
        <f t="shared" ref="L164:M164" si="195">L150</f>
        <v>0.4</v>
      </c>
      <c r="M164" s="724">
        <f t="shared" si="195"/>
        <v>0.3</v>
      </c>
      <c r="N164" s="724">
        <f t="shared" si="166"/>
        <v>0.3</v>
      </c>
      <c r="O164" s="724"/>
      <c r="P164" s="724">
        <f t="shared" ref="P164:Q164" si="196">P136</f>
        <v>0.45</v>
      </c>
      <c r="Q164" s="724">
        <f t="shared" si="196"/>
        <v>0.3</v>
      </c>
      <c r="R164" s="724">
        <f t="shared" si="122"/>
        <v>0.4</v>
      </c>
      <c r="S164" s="724">
        <f t="shared" si="168"/>
        <v>0.4</v>
      </c>
      <c r="T164" s="724">
        <f t="shared" si="169"/>
        <v>0.4</v>
      </c>
      <c r="U164" s="724">
        <f t="shared" si="125"/>
        <v>0.3</v>
      </c>
      <c r="V164" s="724">
        <f t="shared" si="126"/>
        <v>0.5</v>
      </c>
      <c r="W164" s="724">
        <f t="shared" si="170"/>
        <v>0.3</v>
      </c>
      <c r="X164" s="724">
        <f t="shared" si="128"/>
        <v>0.3</v>
      </c>
      <c r="Y164" s="724">
        <f t="shared" si="129"/>
        <v>0.4</v>
      </c>
      <c r="Z164" s="724">
        <f t="shared" si="171"/>
        <v>0.4</v>
      </c>
      <c r="AA164" s="724">
        <f t="shared" si="131"/>
        <v>0.5</v>
      </c>
      <c r="AB164" s="724">
        <f t="shared" si="172"/>
        <v>0.4</v>
      </c>
      <c r="AC164" s="724">
        <f t="shared" si="172"/>
        <v>0.4</v>
      </c>
      <c r="AD164" s="805"/>
      <c r="AE164" s="805"/>
      <c r="AF164" s="792"/>
      <c r="AG164" s="799"/>
      <c r="AH164" s="929"/>
      <c r="AI164" s="735"/>
      <c r="AJ164" s="736"/>
    </row>
    <row r="165" spans="1:52" ht="45" collapsed="1" x14ac:dyDescent="0.25">
      <c r="A165" s="159">
        <f ca="1">OFFSET(A165,-14,0)+1</f>
        <v>12</v>
      </c>
      <c r="B165" s="234" t="str">
        <f ca="1">'Procesy - AS IS'!B42</f>
        <v>Meranie č. 12</v>
      </c>
      <c r="C165" s="650" t="str">
        <f>'Procesy - AS IS'!C42</f>
        <v>Color de Luxe, s.r.o. Bratislava, Kontrola kvality regulovaných výrobkov, 4083-9829/33/2018/Tom</v>
      </c>
      <c r="D165" s="726">
        <f>-'Procesy - AS IS'!D44*D178</f>
        <v>0</v>
      </c>
      <c r="E165" s="653">
        <f>-'Procesy - AS IS'!E44*E178</f>
        <v>0</v>
      </c>
      <c r="F165" s="653">
        <f>-'Procesy - AS IS'!F44*F178</f>
        <v>0</v>
      </c>
      <c r="G165" s="653">
        <f>-'Procesy - AS IS'!G44*G178</f>
        <v>-2.4</v>
      </c>
      <c r="H165" s="653" t="s">
        <v>555</v>
      </c>
      <c r="I165" s="653" t="s">
        <v>555</v>
      </c>
      <c r="J165" s="653" t="s">
        <v>555</v>
      </c>
      <c r="K165" s="653" t="s">
        <v>555</v>
      </c>
      <c r="L165" s="653">
        <f>-'Procesy - AS IS'!L44*L178</f>
        <v>-0.1</v>
      </c>
      <c r="M165" s="653">
        <f>-'Procesy - AS IS'!M44*M178</f>
        <v>-0.89999999999999991</v>
      </c>
      <c r="N165" s="653">
        <f>-'Procesy - AS IS'!N44*N178</f>
        <v>0</v>
      </c>
      <c r="O165" s="653" t="s">
        <v>559</v>
      </c>
      <c r="P165" s="653">
        <f>-'Procesy - AS IS'!P44*P178</f>
        <v>-0.45</v>
      </c>
      <c r="Q165" s="653">
        <f>-'Procesy - AS IS'!Q44*Q178</f>
        <v>0</v>
      </c>
      <c r="R165" s="653">
        <f>-'Procesy - AS IS'!R44*R178</f>
        <v>0</v>
      </c>
      <c r="S165" s="653">
        <f>-'Procesy - AS IS'!S44*S178</f>
        <v>-3.2</v>
      </c>
      <c r="T165" s="653">
        <f>-'Procesy - AS IS'!T44*T178</f>
        <v>0</v>
      </c>
      <c r="U165" s="653">
        <f>-'Procesy - AS IS'!U44*U178</f>
        <v>-2.4</v>
      </c>
      <c r="V165" s="653">
        <f>-'Procesy - AS IS'!V44*V178</f>
        <v>-0.5</v>
      </c>
      <c r="W165" s="653">
        <f>-'Procesy - AS IS'!W44*W178</f>
        <v>0</v>
      </c>
      <c r="X165" s="653">
        <f>-'Procesy - AS IS'!X44*X178</f>
        <v>0</v>
      </c>
      <c r="Y165" s="653">
        <f>-'Procesy - AS IS'!Y44*Y178</f>
        <v>0</v>
      </c>
      <c r="Z165" s="653">
        <f>-'Procesy - AS IS'!Z44*Z178</f>
        <v>0</v>
      </c>
      <c r="AA165" s="653">
        <f>-'Procesy - AS IS'!AA44*AA178</f>
        <v>0</v>
      </c>
      <c r="AB165" s="653">
        <f>-'Procesy - AS IS'!AB44*AB178</f>
        <v>0</v>
      </c>
      <c r="AC165" s="653">
        <f>-'Procesy - AS IS'!AC44*AC178</f>
        <v>0</v>
      </c>
      <c r="AD165" s="754"/>
      <c r="AE165" s="754">
        <f>SUM(D165:AC165)</f>
        <v>-9.9500000000000011</v>
      </c>
      <c r="AF165" s="728">
        <f>AE165/'Procesy - AS IS'!AD44</f>
        <v>-0.34017094017094018</v>
      </c>
      <c r="AG165" s="797">
        <f>('Procesy - AS IS'!AG41/(1+$AF165)-'Procesy - AS IS'!AG41)/2</f>
        <v>9.2797927461139906</v>
      </c>
      <c r="AH165" s="927">
        <f>('Procesy - AS IS'!AH41/(1+$AF165)-'Procesy - AS IS'!AH41)/2</f>
        <v>0</v>
      </c>
      <c r="AI165" s="730">
        <f>('Procesy - AS IS'!AI41/(1+$AF165)-'Procesy - AS IS'!AI41)/2</f>
        <v>0</v>
      </c>
      <c r="AJ165" s="731">
        <f>('Procesy - AS IS'!AJ41/(1+$AF165)-'Procesy - AS IS'!AJ41)/2</f>
        <v>0</v>
      </c>
      <c r="AL165" s="232"/>
      <c r="AZ165" s="227"/>
    </row>
    <row r="166" spans="1:52" hidden="1" outlineLevel="1" x14ac:dyDescent="0.25">
      <c r="A166" s="159"/>
      <c r="B166" s="1358" t="s">
        <v>528</v>
      </c>
      <c r="C166" s="667" t="str">
        <f>'Optimalizačné opatrenia'!$B$2</f>
        <v>Modernizácia</v>
      </c>
      <c r="D166" s="673" t="s">
        <v>530</v>
      </c>
      <c r="E166" s="674" t="s">
        <v>530</v>
      </c>
      <c r="F166" s="703" t="s">
        <v>530</v>
      </c>
      <c r="G166" s="703" t="str">
        <f t="shared" ref="G166:G178" si="197">G96</f>
        <v>A</v>
      </c>
      <c r="H166" s="703"/>
      <c r="I166" s="703"/>
      <c r="J166" s="703"/>
      <c r="K166" s="703"/>
      <c r="L166" s="703" t="str">
        <f t="shared" ref="L166:M178" si="198">L124</f>
        <v>A</v>
      </c>
      <c r="M166" s="703" t="str">
        <f t="shared" si="198"/>
        <v>A</v>
      </c>
      <c r="N166" s="703" t="s">
        <v>530</v>
      </c>
      <c r="O166" s="703"/>
      <c r="P166" s="703" t="str">
        <f t="shared" ref="P166:R178" si="199">P96</f>
        <v>A</v>
      </c>
      <c r="Q166" s="703" t="str">
        <f t="shared" si="199"/>
        <v>A</v>
      </c>
      <c r="R166" s="703" t="str">
        <f t="shared" si="199"/>
        <v>A</v>
      </c>
      <c r="S166" s="703" t="str">
        <f t="shared" ref="S166:S178" si="200">R166</f>
        <v>A</v>
      </c>
      <c r="T166" s="703" t="str">
        <f t="shared" ref="T166:T178" si="201">R166</f>
        <v>A</v>
      </c>
      <c r="U166" s="703" t="str">
        <f t="shared" ref="U166:U178" si="202">G124</f>
        <v>A</v>
      </c>
      <c r="V166" s="703" t="str">
        <f t="shared" ref="V166:V178" si="203">V96</f>
        <v>A</v>
      </c>
      <c r="W166" s="703" t="str">
        <f t="shared" ref="W166:W178" si="204">W10</f>
        <v>A</v>
      </c>
      <c r="X166" s="703" t="str">
        <f t="shared" ref="X166:X178" si="205">G166</f>
        <v>A</v>
      </c>
      <c r="Y166" s="703" t="str">
        <f t="shared" ref="Y166:Y178" si="206">R166</f>
        <v>A</v>
      </c>
      <c r="Z166" s="703" t="str">
        <f t="shared" ref="Z166:Z178" si="207">R166</f>
        <v>A</v>
      </c>
      <c r="AA166" s="703" t="str">
        <f t="shared" ref="AA166:AA178" si="208">$V166</f>
        <v>A</v>
      </c>
      <c r="AB166" s="703" t="str">
        <f t="shared" ref="AB166:AB178" si="209">G166</f>
        <v>A</v>
      </c>
      <c r="AC166" s="703" t="str">
        <f t="shared" ref="AC166:AC178" si="210">R166</f>
        <v>A</v>
      </c>
      <c r="AD166" s="804"/>
      <c r="AE166" s="804"/>
      <c r="AF166" s="791"/>
      <c r="AG166" s="798"/>
      <c r="AH166" s="928"/>
      <c r="AI166" s="732"/>
      <c r="AJ166" s="733"/>
    </row>
    <row r="167" spans="1:52" hidden="1" outlineLevel="1" x14ac:dyDescent="0.25">
      <c r="A167" s="159"/>
      <c r="B167" s="1359"/>
      <c r="C167" s="667" t="str">
        <f>'Optimalizačné opatrenia'!$B$3</f>
        <v>Sfunkčnenie</v>
      </c>
      <c r="D167" s="718" t="s">
        <v>530</v>
      </c>
      <c r="E167" s="703" t="s">
        <v>530</v>
      </c>
      <c r="F167" s="703" t="s">
        <v>530</v>
      </c>
      <c r="G167" s="703" t="str">
        <f t="shared" si="197"/>
        <v>N</v>
      </c>
      <c r="H167" s="703"/>
      <c r="I167" s="703"/>
      <c r="J167" s="703"/>
      <c r="K167" s="703"/>
      <c r="L167" s="703" t="str">
        <f t="shared" si="198"/>
        <v>N</v>
      </c>
      <c r="M167" s="703" t="str">
        <f t="shared" si="198"/>
        <v>N</v>
      </c>
      <c r="N167" s="703" t="s">
        <v>530</v>
      </c>
      <c r="O167" s="703"/>
      <c r="P167" s="703" t="str">
        <f t="shared" si="199"/>
        <v>N</v>
      </c>
      <c r="Q167" s="703" t="str">
        <f t="shared" si="199"/>
        <v>N</v>
      </c>
      <c r="R167" s="703" t="str">
        <f t="shared" si="199"/>
        <v>N</v>
      </c>
      <c r="S167" s="703" t="str">
        <f t="shared" si="200"/>
        <v>N</v>
      </c>
      <c r="T167" s="703" t="str">
        <f t="shared" si="201"/>
        <v>N</v>
      </c>
      <c r="U167" s="703" t="str">
        <f t="shared" si="202"/>
        <v>N</v>
      </c>
      <c r="V167" s="703" t="str">
        <f t="shared" si="203"/>
        <v>N</v>
      </c>
      <c r="W167" s="703" t="str">
        <f t="shared" si="204"/>
        <v>N</v>
      </c>
      <c r="X167" s="703" t="str">
        <f t="shared" si="205"/>
        <v>N</v>
      </c>
      <c r="Y167" s="703" t="str">
        <f t="shared" si="206"/>
        <v>N</v>
      </c>
      <c r="Z167" s="703" t="str">
        <f t="shared" si="207"/>
        <v>N</v>
      </c>
      <c r="AA167" s="703" t="str">
        <f t="shared" si="208"/>
        <v>N</v>
      </c>
      <c r="AB167" s="703" t="str">
        <f t="shared" si="209"/>
        <v>N</v>
      </c>
      <c r="AC167" s="703" t="str">
        <f t="shared" si="210"/>
        <v>N</v>
      </c>
      <c r="AD167" s="804"/>
      <c r="AE167" s="804"/>
      <c r="AF167" s="791"/>
      <c r="AG167" s="798"/>
      <c r="AH167" s="928"/>
      <c r="AI167" s="732"/>
      <c r="AJ167" s="733"/>
    </row>
    <row r="168" spans="1:52" hidden="1" outlineLevel="1" x14ac:dyDescent="0.25">
      <c r="A168" s="159"/>
      <c r="B168" s="1359"/>
      <c r="C168" s="667" t="str">
        <f>'Optimalizačné opatrenia'!$B$4</f>
        <v>Zjednotenie</v>
      </c>
      <c r="D168" s="718" t="s">
        <v>530</v>
      </c>
      <c r="E168" s="703" t="s">
        <v>530</v>
      </c>
      <c r="F168" s="703" t="s">
        <v>530</v>
      </c>
      <c r="G168" s="703" t="str">
        <f t="shared" si="197"/>
        <v>A</v>
      </c>
      <c r="H168" s="703"/>
      <c r="I168" s="703"/>
      <c r="J168" s="703"/>
      <c r="K168" s="703"/>
      <c r="L168" s="703" t="str">
        <f t="shared" si="198"/>
        <v>A</v>
      </c>
      <c r="M168" s="703" t="str">
        <f t="shared" si="198"/>
        <v>A</v>
      </c>
      <c r="N168" s="703" t="s">
        <v>530</v>
      </c>
      <c r="O168" s="703"/>
      <c r="P168" s="703" t="str">
        <f t="shared" si="199"/>
        <v>A</v>
      </c>
      <c r="Q168" s="703" t="str">
        <f t="shared" si="199"/>
        <v>A</v>
      </c>
      <c r="R168" s="703" t="str">
        <f t="shared" si="199"/>
        <v>A</v>
      </c>
      <c r="S168" s="703" t="str">
        <f t="shared" si="200"/>
        <v>A</v>
      </c>
      <c r="T168" s="703" t="str">
        <f t="shared" si="201"/>
        <v>A</v>
      </c>
      <c r="U168" s="703" t="str">
        <f t="shared" si="202"/>
        <v>A</v>
      </c>
      <c r="V168" s="703" t="str">
        <f t="shared" si="203"/>
        <v>A</v>
      </c>
      <c r="W168" s="703" t="str">
        <f t="shared" si="204"/>
        <v>A</v>
      </c>
      <c r="X168" s="703" t="str">
        <f t="shared" si="205"/>
        <v>A</v>
      </c>
      <c r="Y168" s="703" t="str">
        <f t="shared" si="206"/>
        <v>A</v>
      </c>
      <c r="Z168" s="703" t="str">
        <f t="shared" si="207"/>
        <v>A</v>
      </c>
      <c r="AA168" s="703" t="str">
        <f t="shared" si="208"/>
        <v>A</v>
      </c>
      <c r="AB168" s="703" t="str">
        <f t="shared" si="209"/>
        <v>A</v>
      </c>
      <c r="AC168" s="703" t="str">
        <f t="shared" si="210"/>
        <v>A</v>
      </c>
      <c r="AD168" s="804"/>
      <c r="AE168" s="804"/>
      <c r="AF168" s="791"/>
      <c r="AG168" s="798"/>
      <c r="AH168" s="928"/>
      <c r="AI168" s="732"/>
      <c r="AJ168" s="733"/>
    </row>
    <row r="169" spans="1:52" hidden="1" outlineLevel="1" x14ac:dyDescent="0.25">
      <c r="A169" s="159"/>
      <c r="B169" s="1359"/>
      <c r="C169" s="667" t="str">
        <f>'Optimalizačné opatrenia'!$B$5</f>
        <v>Centralizácia</v>
      </c>
      <c r="D169" s="718" t="s">
        <v>530</v>
      </c>
      <c r="E169" s="703" t="s">
        <v>530</v>
      </c>
      <c r="F169" s="703" t="s">
        <v>530</v>
      </c>
      <c r="G169" s="703" t="str">
        <f t="shared" si="197"/>
        <v>A</v>
      </c>
      <c r="H169" s="703"/>
      <c r="I169" s="703"/>
      <c r="J169" s="703"/>
      <c r="K169" s="703"/>
      <c r="L169" s="703" t="str">
        <f t="shared" si="198"/>
        <v>A</v>
      </c>
      <c r="M169" s="703" t="str">
        <f t="shared" si="198"/>
        <v>A</v>
      </c>
      <c r="N169" s="703" t="s">
        <v>530</v>
      </c>
      <c r="O169" s="703"/>
      <c r="P169" s="703" t="str">
        <f t="shared" si="199"/>
        <v>A</v>
      </c>
      <c r="Q169" s="703" t="str">
        <f t="shared" si="199"/>
        <v>A</v>
      </c>
      <c r="R169" s="703" t="str">
        <f t="shared" si="199"/>
        <v>A</v>
      </c>
      <c r="S169" s="703" t="str">
        <f t="shared" si="200"/>
        <v>A</v>
      </c>
      <c r="T169" s="703" t="str">
        <f t="shared" si="201"/>
        <v>A</v>
      </c>
      <c r="U169" s="703" t="str">
        <f t="shared" si="202"/>
        <v>A</v>
      </c>
      <c r="V169" s="703" t="str">
        <f t="shared" si="203"/>
        <v>A</v>
      </c>
      <c r="W169" s="703" t="str">
        <f t="shared" si="204"/>
        <v>A</v>
      </c>
      <c r="X169" s="703" t="str">
        <f t="shared" si="205"/>
        <v>A</v>
      </c>
      <c r="Y169" s="703" t="str">
        <f t="shared" si="206"/>
        <v>A</v>
      </c>
      <c r="Z169" s="703" t="str">
        <f t="shared" si="207"/>
        <v>A</v>
      </c>
      <c r="AA169" s="703" t="str">
        <f t="shared" si="208"/>
        <v>A</v>
      </c>
      <c r="AB169" s="703" t="str">
        <f t="shared" si="209"/>
        <v>A</v>
      </c>
      <c r="AC169" s="703" t="str">
        <f t="shared" si="210"/>
        <v>A</v>
      </c>
      <c r="AD169" s="804"/>
      <c r="AE169" s="804"/>
      <c r="AF169" s="791"/>
      <c r="AG169" s="798"/>
      <c r="AH169" s="928"/>
      <c r="AI169" s="732"/>
      <c r="AJ169" s="733"/>
    </row>
    <row r="170" spans="1:52" hidden="1" outlineLevel="1" x14ac:dyDescent="0.25">
      <c r="A170" s="159"/>
      <c r="B170" s="1359"/>
      <c r="C170" s="667" t="str">
        <f>'Optimalizačné opatrenia'!$B$6</f>
        <v>Elektronizácia</v>
      </c>
      <c r="D170" s="718" t="s">
        <v>530</v>
      </c>
      <c r="E170" s="703" t="s">
        <v>530</v>
      </c>
      <c r="F170" s="703" t="s">
        <v>530</v>
      </c>
      <c r="G170" s="703" t="str">
        <f t="shared" si="197"/>
        <v>A</v>
      </c>
      <c r="H170" s="703"/>
      <c r="I170" s="703"/>
      <c r="J170" s="703"/>
      <c r="K170" s="703"/>
      <c r="L170" s="703" t="str">
        <f t="shared" si="198"/>
        <v>A</v>
      </c>
      <c r="M170" s="703" t="str">
        <f t="shared" si="198"/>
        <v>A</v>
      </c>
      <c r="N170" s="703" t="s">
        <v>530</v>
      </c>
      <c r="O170" s="703"/>
      <c r="P170" s="703" t="str">
        <f t="shared" si="199"/>
        <v>A</v>
      </c>
      <c r="Q170" s="703" t="str">
        <f t="shared" si="199"/>
        <v>A</v>
      </c>
      <c r="R170" s="703" t="str">
        <f t="shared" si="199"/>
        <v>A</v>
      </c>
      <c r="S170" s="703" t="str">
        <f t="shared" si="200"/>
        <v>A</v>
      </c>
      <c r="T170" s="703" t="str">
        <f t="shared" si="201"/>
        <v>A</v>
      </c>
      <c r="U170" s="703" t="str">
        <f t="shared" si="202"/>
        <v>A</v>
      </c>
      <c r="V170" s="703" t="str">
        <f t="shared" si="203"/>
        <v>A</v>
      </c>
      <c r="W170" s="703" t="str">
        <f t="shared" si="204"/>
        <v>A</v>
      </c>
      <c r="X170" s="703" t="str">
        <f t="shared" si="205"/>
        <v>A</v>
      </c>
      <c r="Y170" s="703" t="str">
        <f t="shared" si="206"/>
        <v>A</v>
      </c>
      <c r="Z170" s="703" t="str">
        <f t="shared" si="207"/>
        <v>A</v>
      </c>
      <c r="AA170" s="703" t="str">
        <f t="shared" si="208"/>
        <v>A</v>
      </c>
      <c r="AB170" s="703" t="str">
        <f t="shared" si="209"/>
        <v>A</v>
      </c>
      <c r="AC170" s="703" t="str">
        <f t="shared" si="210"/>
        <v>A</v>
      </c>
      <c r="AD170" s="804"/>
      <c r="AE170" s="804"/>
      <c r="AF170" s="791"/>
      <c r="AG170" s="798"/>
      <c r="AH170" s="928"/>
      <c r="AI170" s="732"/>
      <c r="AJ170" s="733"/>
    </row>
    <row r="171" spans="1:52" hidden="1" outlineLevel="1" x14ac:dyDescent="0.25">
      <c r="A171" s="159"/>
      <c r="B171" s="1359"/>
      <c r="C171" s="667" t="str">
        <f>'Optimalizačné opatrenia'!$B$7</f>
        <v>Automatizácia</v>
      </c>
      <c r="D171" s="718" t="s">
        <v>530</v>
      </c>
      <c r="E171" s="703" t="s">
        <v>530</v>
      </c>
      <c r="F171" s="703" t="s">
        <v>530</v>
      </c>
      <c r="G171" s="703" t="str">
        <f t="shared" si="197"/>
        <v>A</v>
      </c>
      <c r="H171" s="703"/>
      <c r="I171" s="703"/>
      <c r="J171" s="703"/>
      <c r="K171" s="703"/>
      <c r="L171" s="703" t="str">
        <f t="shared" si="198"/>
        <v>A</v>
      </c>
      <c r="M171" s="703" t="str">
        <f t="shared" si="198"/>
        <v>A</v>
      </c>
      <c r="N171" s="703" t="s">
        <v>530</v>
      </c>
      <c r="O171" s="703"/>
      <c r="P171" s="703" t="str">
        <f t="shared" si="199"/>
        <v>A</v>
      </c>
      <c r="Q171" s="703" t="str">
        <f t="shared" si="199"/>
        <v>A</v>
      </c>
      <c r="R171" s="703" t="str">
        <f t="shared" si="199"/>
        <v>A</v>
      </c>
      <c r="S171" s="703" t="str">
        <f t="shared" si="200"/>
        <v>A</v>
      </c>
      <c r="T171" s="703" t="str">
        <f t="shared" si="201"/>
        <v>A</v>
      </c>
      <c r="U171" s="703" t="str">
        <f t="shared" si="202"/>
        <v>A</v>
      </c>
      <c r="V171" s="703" t="str">
        <f t="shared" si="203"/>
        <v>A</v>
      </c>
      <c r="W171" s="703" t="str">
        <f t="shared" si="204"/>
        <v>A</v>
      </c>
      <c r="X171" s="703" t="str">
        <f t="shared" si="205"/>
        <v>A</v>
      </c>
      <c r="Y171" s="703" t="str">
        <f t="shared" si="206"/>
        <v>A</v>
      </c>
      <c r="Z171" s="703" t="str">
        <f t="shared" si="207"/>
        <v>A</v>
      </c>
      <c r="AA171" s="703" t="str">
        <f t="shared" si="208"/>
        <v>A</v>
      </c>
      <c r="AB171" s="703" t="str">
        <f t="shared" si="209"/>
        <v>A</v>
      </c>
      <c r="AC171" s="703" t="str">
        <f t="shared" si="210"/>
        <v>A</v>
      </c>
      <c r="AD171" s="804"/>
      <c r="AE171" s="804"/>
      <c r="AF171" s="791"/>
      <c r="AG171" s="798"/>
      <c r="AH171" s="928"/>
      <c r="AI171" s="732"/>
      <c r="AJ171" s="733"/>
    </row>
    <row r="172" spans="1:52" hidden="1" outlineLevel="1" x14ac:dyDescent="0.25">
      <c r="A172" s="159"/>
      <c r="B172" s="1359"/>
      <c r="C172" s="667" t="str">
        <f>'Optimalizačné opatrenia'!$B$8</f>
        <v>Bezpečnosť</v>
      </c>
      <c r="D172" s="718" t="s">
        <v>530</v>
      </c>
      <c r="E172" s="703" t="s">
        <v>530</v>
      </c>
      <c r="F172" s="703" t="s">
        <v>530</v>
      </c>
      <c r="G172" s="703" t="str">
        <f t="shared" si="197"/>
        <v>A</v>
      </c>
      <c r="H172" s="703"/>
      <c r="I172" s="703"/>
      <c r="J172" s="703"/>
      <c r="K172" s="703"/>
      <c r="L172" s="703" t="str">
        <f t="shared" si="198"/>
        <v>A</v>
      </c>
      <c r="M172" s="703" t="str">
        <f t="shared" si="198"/>
        <v>A</v>
      </c>
      <c r="N172" s="703" t="s">
        <v>530</v>
      </c>
      <c r="O172" s="703"/>
      <c r="P172" s="703" t="str">
        <f t="shared" si="199"/>
        <v>A</v>
      </c>
      <c r="Q172" s="703" t="str">
        <f t="shared" si="199"/>
        <v>A</v>
      </c>
      <c r="R172" s="703" t="str">
        <f t="shared" si="199"/>
        <v>A</v>
      </c>
      <c r="S172" s="703" t="str">
        <f t="shared" si="200"/>
        <v>A</v>
      </c>
      <c r="T172" s="703" t="str">
        <f t="shared" si="201"/>
        <v>A</v>
      </c>
      <c r="U172" s="703" t="str">
        <f t="shared" si="202"/>
        <v>A</v>
      </c>
      <c r="V172" s="703" t="str">
        <f t="shared" si="203"/>
        <v>A</v>
      </c>
      <c r="W172" s="703" t="str">
        <f t="shared" si="204"/>
        <v>A</v>
      </c>
      <c r="X172" s="703" t="str">
        <f t="shared" si="205"/>
        <v>A</v>
      </c>
      <c r="Y172" s="703" t="str">
        <f t="shared" si="206"/>
        <v>A</v>
      </c>
      <c r="Z172" s="703" t="str">
        <f t="shared" si="207"/>
        <v>A</v>
      </c>
      <c r="AA172" s="703" t="str">
        <f t="shared" si="208"/>
        <v>A</v>
      </c>
      <c r="AB172" s="703" t="str">
        <f t="shared" si="209"/>
        <v>A</v>
      </c>
      <c r="AC172" s="703" t="str">
        <f t="shared" si="210"/>
        <v>A</v>
      </c>
      <c r="AD172" s="804"/>
      <c r="AE172" s="804"/>
      <c r="AF172" s="791"/>
      <c r="AG172" s="798"/>
      <c r="AH172" s="928"/>
      <c r="AI172" s="732"/>
      <c r="AJ172" s="733"/>
    </row>
    <row r="173" spans="1:52" hidden="1" outlineLevel="1" x14ac:dyDescent="0.25">
      <c r="A173" s="159"/>
      <c r="B173" s="1359"/>
      <c r="C173" s="667" t="str">
        <f>'Optimalizačné opatrenia'!$B$9</f>
        <v>Auditovateľnosť</v>
      </c>
      <c r="D173" s="718" t="s">
        <v>530</v>
      </c>
      <c r="E173" s="703" t="s">
        <v>530</v>
      </c>
      <c r="F173" s="703" t="s">
        <v>530</v>
      </c>
      <c r="G173" s="703" t="str">
        <f t="shared" si="197"/>
        <v>A</v>
      </c>
      <c r="H173" s="703"/>
      <c r="I173" s="703"/>
      <c r="J173" s="703"/>
      <c r="K173" s="703"/>
      <c r="L173" s="703" t="str">
        <f t="shared" si="198"/>
        <v>A</v>
      </c>
      <c r="M173" s="703" t="str">
        <f t="shared" si="198"/>
        <v>A</v>
      </c>
      <c r="N173" s="703" t="s">
        <v>530</v>
      </c>
      <c r="O173" s="703"/>
      <c r="P173" s="703" t="str">
        <f t="shared" si="199"/>
        <v>A</v>
      </c>
      <c r="Q173" s="703" t="str">
        <f t="shared" si="199"/>
        <v>A</v>
      </c>
      <c r="R173" s="703" t="str">
        <f t="shared" si="199"/>
        <v>A</v>
      </c>
      <c r="S173" s="703" t="str">
        <f t="shared" si="200"/>
        <v>A</v>
      </c>
      <c r="T173" s="703" t="str">
        <f t="shared" si="201"/>
        <v>A</v>
      </c>
      <c r="U173" s="703" t="str">
        <f t="shared" si="202"/>
        <v>A</v>
      </c>
      <c r="V173" s="703" t="str">
        <f t="shared" si="203"/>
        <v>A</v>
      </c>
      <c r="W173" s="703" t="str">
        <f t="shared" si="204"/>
        <v>A</v>
      </c>
      <c r="X173" s="703" t="str">
        <f t="shared" si="205"/>
        <v>A</v>
      </c>
      <c r="Y173" s="703" t="str">
        <f t="shared" si="206"/>
        <v>A</v>
      </c>
      <c r="Z173" s="703" t="str">
        <f t="shared" si="207"/>
        <v>A</v>
      </c>
      <c r="AA173" s="703" t="str">
        <f t="shared" si="208"/>
        <v>A</v>
      </c>
      <c r="AB173" s="703" t="str">
        <f t="shared" si="209"/>
        <v>A</v>
      </c>
      <c r="AC173" s="703" t="str">
        <f t="shared" si="210"/>
        <v>A</v>
      </c>
      <c r="AD173" s="804"/>
      <c r="AE173" s="804"/>
      <c r="AF173" s="791"/>
      <c r="AG173" s="798"/>
      <c r="AH173" s="928"/>
      <c r="AI173" s="732"/>
      <c r="AJ173" s="733"/>
    </row>
    <row r="174" spans="1:52" hidden="1" outlineLevel="1" x14ac:dyDescent="0.25">
      <c r="A174" s="159"/>
      <c r="B174" s="1359"/>
      <c r="C174" s="667" t="str">
        <f>'Optimalizačné opatrenia'!$B$10</f>
        <v>Transparentnosť</v>
      </c>
      <c r="D174" s="718" t="s">
        <v>530</v>
      </c>
      <c r="E174" s="703" t="s">
        <v>530</v>
      </c>
      <c r="F174" s="703" t="s">
        <v>530</v>
      </c>
      <c r="G174" s="703" t="str">
        <f t="shared" si="197"/>
        <v>N</v>
      </c>
      <c r="H174" s="703"/>
      <c r="I174" s="703"/>
      <c r="J174" s="703"/>
      <c r="K174" s="703"/>
      <c r="L174" s="703" t="str">
        <f t="shared" si="198"/>
        <v>N</v>
      </c>
      <c r="M174" s="703" t="str">
        <f t="shared" si="198"/>
        <v>N</v>
      </c>
      <c r="N174" s="703" t="s">
        <v>530</v>
      </c>
      <c r="O174" s="703"/>
      <c r="P174" s="703" t="str">
        <f t="shared" si="199"/>
        <v>A</v>
      </c>
      <c r="Q174" s="703" t="str">
        <f t="shared" si="199"/>
        <v>N</v>
      </c>
      <c r="R174" s="703" t="str">
        <f t="shared" si="199"/>
        <v>N</v>
      </c>
      <c r="S174" s="703" t="str">
        <f t="shared" si="200"/>
        <v>N</v>
      </c>
      <c r="T174" s="703" t="str">
        <f t="shared" si="201"/>
        <v>N</v>
      </c>
      <c r="U174" s="703" t="str">
        <f t="shared" si="202"/>
        <v>N</v>
      </c>
      <c r="V174" s="703" t="str">
        <f t="shared" si="203"/>
        <v>A</v>
      </c>
      <c r="W174" s="703" t="str">
        <f t="shared" si="204"/>
        <v>N</v>
      </c>
      <c r="X174" s="703" t="str">
        <f t="shared" si="205"/>
        <v>N</v>
      </c>
      <c r="Y174" s="703" t="str">
        <f t="shared" si="206"/>
        <v>N</v>
      </c>
      <c r="Z174" s="703" t="str">
        <f t="shared" si="207"/>
        <v>N</v>
      </c>
      <c r="AA174" s="703" t="str">
        <f t="shared" si="208"/>
        <v>A</v>
      </c>
      <c r="AB174" s="703" t="str">
        <f t="shared" si="209"/>
        <v>N</v>
      </c>
      <c r="AC174" s="703" t="str">
        <f t="shared" si="210"/>
        <v>N</v>
      </c>
      <c r="AD174" s="804"/>
      <c r="AE174" s="804"/>
      <c r="AF174" s="791"/>
      <c r="AG174" s="798"/>
      <c r="AH174" s="928"/>
      <c r="AI174" s="732"/>
      <c r="AJ174" s="733"/>
    </row>
    <row r="175" spans="1:52" hidden="1" outlineLevel="1" x14ac:dyDescent="0.25">
      <c r="A175" s="159"/>
      <c r="B175" s="1359"/>
      <c r="C175" s="667" t="str">
        <f>'Optimalizačné opatrenia'!$B$11</f>
        <v>Analyzovatelnosť</v>
      </c>
      <c r="D175" s="718" t="s">
        <v>530</v>
      </c>
      <c r="E175" s="703" t="s">
        <v>530</v>
      </c>
      <c r="F175" s="703" t="s">
        <v>530</v>
      </c>
      <c r="G175" s="703" t="str">
        <f t="shared" si="197"/>
        <v>A</v>
      </c>
      <c r="H175" s="703"/>
      <c r="I175" s="703"/>
      <c r="J175" s="703"/>
      <c r="K175" s="703"/>
      <c r="L175" s="703" t="str">
        <f t="shared" si="198"/>
        <v>A</v>
      </c>
      <c r="M175" s="703" t="str">
        <f t="shared" si="198"/>
        <v>A</v>
      </c>
      <c r="N175" s="703" t="s">
        <v>530</v>
      </c>
      <c r="O175" s="703"/>
      <c r="P175" s="703" t="str">
        <f t="shared" si="199"/>
        <v>A</v>
      </c>
      <c r="Q175" s="703" t="str">
        <f t="shared" si="199"/>
        <v>A</v>
      </c>
      <c r="R175" s="703" t="str">
        <f t="shared" si="199"/>
        <v>A</v>
      </c>
      <c r="S175" s="703" t="str">
        <f t="shared" si="200"/>
        <v>A</v>
      </c>
      <c r="T175" s="703" t="str">
        <f t="shared" si="201"/>
        <v>A</v>
      </c>
      <c r="U175" s="703" t="str">
        <f t="shared" si="202"/>
        <v>A</v>
      </c>
      <c r="V175" s="703" t="str">
        <f t="shared" si="203"/>
        <v>A</v>
      </c>
      <c r="W175" s="703" t="str">
        <f t="shared" si="204"/>
        <v>A</v>
      </c>
      <c r="X175" s="703" t="str">
        <f t="shared" si="205"/>
        <v>A</v>
      </c>
      <c r="Y175" s="703" t="str">
        <f t="shared" si="206"/>
        <v>A</v>
      </c>
      <c r="Z175" s="703" t="str">
        <f t="shared" si="207"/>
        <v>A</v>
      </c>
      <c r="AA175" s="703" t="str">
        <f t="shared" si="208"/>
        <v>A</v>
      </c>
      <c r="AB175" s="703" t="str">
        <f t="shared" si="209"/>
        <v>A</v>
      </c>
      <c r="AC175" s="703" t="str">
        <f t="shared" si="210"/>
        <v>A</v>
      </c>
      <c r="AD175" s="804"/>
      <c r="AE175" s="804"/>
      <c r="AF175" s="791"/>
      <c r="AG175" s="798"/>
      <c r="AH175" s="928"/>
      <c r="AI175" s="732"/>
      <c r="AJ175" s="733"/>
    </row>
    <row r="176" spans="1:52" hidden="1" outlineLevel="1" x14ac:dyDescent="0.25">
      <c r="A176" s="159"/>
      <c r="B176" s="1359"/>
      <c r="C176" s="667" t="str">
        <f>'Optimalizačné opatrenia'!$B$12</f>
        <v>Integrácia</v>
      </c>
      <c r="D176" s="718" t="s">
        <v>530</v>
      </c>
      <c r="E176" s="703" t="s">
        <v>530</v>
      </c>
      <c r="F176" s="703" t="s">
        <v>530</v>
      </c>
      <c r="G176" s="703" t="str">
        <f t="shared" si="197"/>
        <v>A</v>
      </c>
      <c r="H176" s="703"/>
      <c r="I176" s="703"/>
      <c r="J176" s="703"/>
      <c r="K176" s="703"/>
      <c r="L176" s="703" t="str">
        <f t="shared" si="198"/>
        <v>A</v>
      </c>
      <c r="M176" s="703" t="str">
        <f t="shared" si="198"/>
        <v>A</v>
      </c>
      <c r="N176" s="703" t="s">
        <v>530</v>
      </c>
      <c r="O176" s="703"/>
      <c r="P176" s="703" t="str">
        <f t="shared" si="199"/>
        <v>A</v>
      </c>
      <c r="Q176" s="703" t="str">
        <f t="shared" si="199"/>
        <v>A</v>
      </c>
      <c r="R176" s="703" t="str">
        <f t="shared" si="199"/>
        <v>A</v>
      </c>
      <c r="S176" s="703" t="str">
        <f t="shared" si="200"/>
        <v>A</v>
      </c>
      <c r="T176" s="703" t="str">
        <f t="shared" si="201"/>
        <v>A</v>
      </c>
      <c r="U176" s="703" t="str">
        <f t="shared" si="202"/>
        <v>A</v>
      </c>
      <c r="V176" s="703" t="str">
        <f t="shared" si="203"/>
        <v>A</v>
      </c>
      <c r="W176" s="703" t="str">
        <f t="shared" si="204"/>
        <v>A</v>
      </c>
      <c r="X176" s="703" t="str">
        <f t="shared" si="205"/>
        <v>A</v>
      </c>
      <c r="Y176" s="703" t="str">
        <f t="shared" si="206"/>
        <v>A</v>
      </c>
      <c r="Z176" s="703" t="str">
        <f t="shared" si="207"/>
        <v>A</v>
      </c>
      <c r="AA176" s="703" t="str">
        <f t="shared" si="208"/>
        <v>A</v>
      </c>
      <c r="AB176" s="703" t="str">
        <f t="shared" si="209"/>
        <v>A</v>
      </c>
      <c r="AC176" s="703" t="str">
        <f t="shared" si="210"/>
        <v>A</v>
      </c>
      <c r="AD176" s="804"/>
      <c r="AE176" s="804"/>
      <c r="AF176" s="791"/>
      <c r="AG176" s="798"/>
      <c r="AH176" s="928"/>
      <c r="AI176" s="732"/>
      <c r="AJ176" s="733"/>
    </row>
    <row r="177" spans="1:52" hidden="1" outlineLevel="1" x14ac:dyDescent="0.25">
      <c r="A177" s="159"/>
      <c r="B177" s="1359"/>
      <c r="C177" s="672" t="str">
        <f>'Optimalizačné opatrenia'!$B$13</f>
        <v>Proaktivita</v>
      </c>
      <c r="D177" s="718" t="s">
        <v>530</v>
      </c>
      <c r="E177" s="703" t="s">
        <v>530</v>
      </c>
      <c r="F177" s="703" t="s">
        <v>530</v>
      </c>
      <c r="G177" s="703" t="str">
        <f t="shared" si="197"/>
        <v>N</v>
      </c>
      <c r="H177" s="703"/>
      <c r="I177" s="703"/>
      <c r="J177" s="703"/>
      <c r="K177" s="703"/>
      <c r="L177" s="703" t="str">
        <f t="shared" si="198"/>
        <v>A</v>
      </c>
      <c r="M177" s="703" t="str">
        <f t="shared" si="198"/>
        <v>N</v>
      </c>
      <c r="N177" s="703" t="s">
        <v>530</v>
      </c>
      <c r="O177" s="703"/>
      <c r="P177" s="703" t="str">
        <f t="shared" si="199"/>
        <v>N</v>
      </c>
      <c r="Q177" s="703" t="str">
        <f t="shared" si="199"/>
        <v>N</v>
      </c>
      <c r="R177" s="703" t="str">
        <f t="shared" si="199"/>
        <v>A</v>
      </c>
      <c r="S177" s="703" t="str">
        <f t="shared" si="200"/>
        <v>A</v>
      </c>
      <c r="T177" s="703" t="str">
        <f t="shared" si="201"/>
        <v>A</v>
      </c>
      <c r="U177" s="703" t="str">
        <f t="shared" si="202"/>
        <v>N</v>
      </c>
      <c r="V177" s="703" t="str">
        <f t="shared" si="203"/>
        <v>A</v>
      </c>
      <c r="W177" s="703" t="str">
        <f t="shared" si="204"/>
        <v>N</v>
      </c>
      <c r="X177" s="703" t="str">
        <f t="shared" si="205"/>
        <v>N</v>
      </c>
      <c r="Y177" s="703" t="str">
        <f t="shared" si="206"/>
        <v>A</v>
      </c>
      <c r="Z177" s="703" t="str">
        <f t="shared" si="207"/>
        <v>A</v>
      </c>
      <c r="AA177" s="703" t="str">
        <f t="shared" si="208"/>
        <v>A</v>
      </c>
      <c r="AB177" s="703" t="str">
        <f t="shared" si="209"/>
        <v>N</v>
      </c>
      <c r="AC177" s="703" t="str">
        <f t="shared" si="210"/>
        <v>A</v>
      </c>
      <c r="AD177" s="804"/>
      <c r="AE177" s="804"/>
      <c r="AF177" s="791"/>
      <c r="AG177" s="798"/>
      <c r="AH177" s="928"/>
      <c r="AI177" s="732"/>
      <c r="AJ177" s="733"/>
    </row>
    <row r="178" spans="1:52" hidden="1" outlineLevel="1" x14ac:dyDescent="0.25">
      <c r="A178" s="159"/>
      <c r="B178" s="720"/>
      <c r="C178" s="722" t="s">
        <v>538</v>
      </c>
      <c r="D178" s="723">
        <v>0</v>
      </c>
      <c r="E178" s="721">
        <v>0</v>
      </c>
      <c r="F178" s="724">
        <v>0</v>
      </c>
      <c r="G178" s="724">
        <f t="shared" si="197"/>
        <v>0.3</v>
      </c>
      <c r="H178" s="724"/>
      <c r="I178" s="724"/>
      <c r="J178" s="724"/>
      <c r="K178" s="724"/>
      <c r="L178" s="724">
        <f t="shared" si="198"/>
        <v>0.4</v>
      </c>
      <c r="M178" s="724">
        <f t="shared" si="198"/>
        <v>0.3</v>
      </c>
      <c r="N178" s="724">
        <v>0</v>
      </c>
      <c r="O178" s="724"/>
      <c r="P178" s="724">
        <f t="shared" si="199"/>
        <v>0.45</v>
      </c>
      <c r="Q178" s="724">
        <f t="shared" si="199"/>
        <v>0.3</v>
      </c>
      <c r="R178" s="724">
        <f t="shared" si="199"/>
        <v>0.4</v>
      </c>
      <c r="S178" s="724">
        <f t="shared" si="200"/>
        <v>0.4</v>
      </c>
      <c r="T178" s="724">
        <f t="shared" si="201"/>
        <v>0.4</v>
      </c>
      <c r="U178" s="724">
        <f t="shared" si="202"/>
        <v>0.3</v>
      </c>
      <c r="V178" s="724">
        <f t="shared" si="203"/>
        <v>0.5</v>
      </c>
      <c r="W178" s="724">
        <f t="shared" si="204"/>
        <v>0.3</v>
      </c>
      <c r="X178" s="724">
        <f t="shared" si="205"/>
        <v>0.3</v>
      </c>
      <c r="Y178" s="724">
        <f t="shared" si="206"/>
        <v>0.4</v>
      </c>
      <c r="Z178" s="724">
        <f t="shared" si="207"/>
        <v>0.4</v>
      </c>
      <c r="AA178" s="724">
        <f t="shared" si="208"/>
        <v>0.5</v>
      </c>
      <c r="AB178" s="724">
        <f t="shared" si="209"/>
        <v>0.3</v>
      </c>
      <c r="AC178" s="724">
        <f t="shared" si="210"/>
        <v>0.4</v>
      </c>
      <c r="AD178" s="805"/>
      <c r="AE178" s="805"/>
      <c r="AF178" s="792"/>
      <c r="AG178" s="799"/>
      <c r="AH178" s="929"/>
      <c r="AI178" s="735"/>
      <c r="AJ178" s="736"/>
    </row>
    <row r="179" spans="1:52" ht="69.599999999999994" customHeight="1" collapsed="1" x14ac:dyDescent="0.25">
      <c r="A179" s="159">
        <f ca="1">OFFSET(A179,-14,0)+1</f>
        <v>13</v>
      </c>
      <c r="B179" s="668" t="str">
        <f ca="1">'Procesy - AS IS'!B45</f>
        <v>Meranie č. 13</v>
      </c>
      <c r="C179" s="671" t="str">
        <f>'Procesy - AS IS'!C45</f>
        <v>MAKOS, a.s. Bardejov, Kontrola emisie skleníkových plynov, kontrola: 4828-15367/53/2017/Kve
spravne konanie: 7490-33731/Ulb
odvolanie: 1110-2247/Šte</v>
      </c>
      <c r="D179" s="726">
        <f>-'Procesy - AS IS'!D47*D192</f>
        <v>0</v>
      </c>
      <c r="E179" s="653">
        <f>-'Procesy - AS IS'!E47*E192</f>
        <v>0</v>
      </c>
      <c r="F179" s="653">
        <f>-'Procesy - AS IS'!F47*F192</f>
        <v>0</v>
      </c>
      <c r="G179" s="653">
        <f>-'Procesy - AS IS'!G47*G192</f>
        <v>-4.8</v>
      </c>
      <c r="H179" s="653" t="s">
        <v>555</v>
      </c>
      <c r="I179" s="653" t="s">
        <v>555</v>
      </c>
      <c r="J179" s="653" t="s">
        <v>555</v>
      </c>
      <c r="K179" s="653" t="s">
        <v>555</v>
      </c>
      <c r="L179" s="653">
        <f>-'Procesy - AS IS'!L47*L192</f>
        <v>-0.1</v>
      </c>
      <c r="M179" s="653">
        <f>-'Procesy - AS IS'!M47*M192</f>
        <v>-1.7999999999999998</v>
      </c>
      <c r="N179" s="653">
        <f>-'Procesy - AS IS'!N47*N192</f>
        <v>0</v>
      </c>
      <c r="O179" s="653" t="s">
        <v>559</v>
      </c>
      <c r="P179" s="653">
        <f>-'Procesy - AS IS'!P47*P192</f>
        <v>-0.45</v>
      </c>
      <c r="Q179" s="653">
        <f>-'Procesy - AS IS'!Q47*Q192</f>
        <v>0</v>
      </c>
      <c r="R179" s="653">
        <f>-'Procesy - AS IS'!R47*R192</f>
        <v>0</v>
      </c>
      <c r="S179" s="653">
        <f>-'Procesy - AS IS'!S47*S192</f>
        <v>-6</v>
      </c>
      <c r="T179" s="653">
        <f>-'Procesy - AS IS'!T47*T192</f>
        <v>0</v>
      </c>
      <c r="U179" s="653">
        <f>-'Procesy - AS IS'!U47*U192</f>
        <v>-2.4</v>
      </c>
      <c r="V179" s="653">
        <f>-'Procesy - AS IS'!V47*V192</f>
        <v>-0.25</v>
      </c>
      <c r="W179" s="653">
        <f>-'Procesy - AS IS'!W47*W192</f>
        <v>0</v>
      </c>
      <c r="X179" s="653">
        <f>-'Procesy - AS IS'!X47*X192</f>
        <v>0</v>
      </c>
      <c r="Y179" s="653">
        <f>-'Procesy - AS IS'!Y47*Y192</f>
        <v>0</v>
      </c>
      <c r="Z179" s="653">
        <f>-'Procesy - AS IS'!Z47*Z192</f>
        <v>0</v>
      </c>
      <c r="AA179" s="653">
        <f>-'Procesy - AS IS'!AA47*AA192</f>
        <v>0</v>
      </c>
      <c r="AB179" s="653">
        <f>-'Procesy - AS IS'!AB47*AB192</f>
        <v>0</v>
      </c>
      <c r="AC179" s="653">
        <f>-'Procesy - AS IS'!AC47*AC192</f>
        <v>0</v>
      </c>
      <c r="AD179" s="754"/>
      <c r="AE179" s="754">
        <f>SUM(D179:AC179)</f>
        <v>-15.799999999999999</v>
      </c>
      <c r="AF179" s="728">
        <f>AE179/'Procesy - AS IS'!AD47</f>
        <v>-0.33796791443850266</v>
      </c>
      <c r="AG179" s="797">
        <f>'Procesy - AS IS'!AG47/(1+$AF179)-'Procesy - AS IS'!AG47</f>
        <v>23.483037156704356</v>
      </c>
      <c r="AH179" s="927">
        <f>'Procesy - AS IS'!AH47/(1+$AF179)-'Procesy - AS IS'!AH47</f>
        <v>0</v>
      </c>
      <c r="AI179" s="730">
        <f>'Procesy - AS IS'!AI47/(1+$AF179)-'Procesy - AS IS'!AI47</f>
        <v>0</v>
      </c>
      <c r="AJ179" s="731">
        <f>'Procesy - AS IS'!AJ47/(1+$AF179)-'Procesy - AS IS'!AJ47</f>
        <v>0</v>
      </c>
      <c r="AL179" s="232"/>
      <c r="AZ179" s="227"/>
    </row>
    <row r="180" spans="1:52" hidden="1" outlineLevel="1" x14ac:dyDescent="0.25">
      <c r="A180" s="159"/>
      <c r="B180" s="1358" t="s">
        <v>528</v>
      </c>
      <c r="C180" s="667" t="str">
        <f>'Optimalizačné opatrenia'!$B$2</f>
        <v>Modernizácia</v>
      </c>
      <c r="D180" s="673" t="s">
        <v>530</v>
      </c>
      <c r="E180" s="674" t="s">
        <v>530</v>
      </c>
      <c r="F180" s="703" t="s">
        <v>530</v>
      </c>
      <c r="G180" s="703" t="str">
        <f t="shared" ref="G180:G192" si="211">G110</f>
        <v>A</v>
      </c>
      <c r="H180" s="703"/>
      <c r="I180" s="703"/>
      <c r="J180" s="703"/>
      <c r="K180" s="703"/>
      <c r="L180" s="703" t="str">
        <f t="shared" ref="L180:M192" si="212">L166</f>
        <v>A</v>
      </c>
      <c r="M180" s="703" t="str">
        <f t="shared" si="212"/>
        <v>A</v>
      </c>
      <c r="N180" s="703" t="s">
        <v>530</v>
      </c>
      <c r="O180" s="703"/>
      <c r="P180" s="703" t="str">
        <f t="shared" ref="P180:R192" si="213">P110</f>
        <v>A</v>
      </c>
      <c r="Q180" s="703" t="str">
        <f t="shared" si="213"/>
        <v>A</v>
      </c>
      <c r="R180" s="703" t="str">
        <f t="shared" si="213"/>
        <v>A</v>
      </c>
      <c r="S180" s="703" t="str">
        <f t="shared" ref="S180:S192" si="214">R180</f>
        <v>A</v>
      </c>
      <c r="T180" s="703" t="str">
        <f t="shared" ref="T180:T192" si="215">R180</f>
        <v>A</v>
      </c>
      <c r="U180" s="703" t="str">
        <f t="shared" ref="U180:U192" si="216">G166</f>
        <v>A</v>
      </c>
      <c r="V180" s="703" t="str">
        <f t="shared" ref="V180:V192" si="217">V110</f>
        <v>A</v>
      </c>
      <c r="W180" s="703" t="str">
        <f t="shared" ref="W180:W192" si="218">W10</f>
        <v>A</v>
      </c>
      <c r="X180" s="703" t="str">
        <f t="shared" ref="X180:X192" si="219">G180</f>
        <v>A</v>
      </c>
      <c r="Y180" s="703" t="str">
        <f t="shared" ref="Y180:Y192" si="220">R180</f>
        <v>A</v>
      </c>
      <c r="Z180" s="703" t="str">
        <f t="shared" ref="Z180:Z192" si="221">R180</f>
        <v>A</v>
      </c>
      <c r="AA180" s="703" t="str">
        <f t="shared" ref="AA180:AA192" si="222">$V180</f>
        <v>A</v>
      </c>
      <c r="AB180" s="703" t="str">
        <f t="shared" ref="AB180:AB192" si="223">G180</f>
        <v>A</v>
      </c>
      <c r="AC180" s="703" t="str">
        <f t="shared" ref="AC180:AC192" si="224">R180</f>
        <v>A</v>
      </c>
      <c r="AD180" s="804"/>
      <c r="AE180" s="804"/>
      <c r="AF180" s="791"/>
      <c r="AG180" s="798"/>
      <c r="AH180" s="928"/>
      <c r="AI180" s="732"/>
      <c r="AJ180" s="733"/>
    </row>
    <row r="181" spans="1:52" hidden="1" outlineLevel="1" x14ac:dyDescent="0.25">
      <c r="A181" s="159"/>
      <c r="B181" s="1359"/>
      <c r="C181" s="667" t="str">
        <f>'Optimalizačné opatrenia'!$B$3</f>
        <v>Sfunkčnenie</v>
      </c>
      <c r="D181" s="718" t="s">
        <v>530</v>
      </c>
      <c r="E181" s="703" t="s">
        <v>530</v>
      </c>
      <c r="F181" s="703" t="s">
        <v>530</v>
      </c>
      <c r="G181" s="703" t="str">
        <f t="shared" si="211"/>
        <v>N</v>
      </c>
      <c r="H181" s="703"/>
      <c r="I181" s="703"/>
      <c r="J181" s="703"/>
      <c r="K181" s="703"/>
      <c r="L181" s="703" t="str">
        <f t="shared" si="212"/>
        <v>N</v>
      </c>
      <c r="M181" s="703" t="str">
        <f t="shared" si="212"/>
        <v>N</v>
      </c>
      <c r="N181" s="703" t="s">
        <v>530</v>
      </c>
      <c r="O181" s="703"/>
      <c r="P181" s="703" t="str">
        <f t="shared" si="213"/>
        <v>N</v>
      </c>
      <c r="Q181" s="703" t="str">
        <f t="shared" si="213"/>
        <v>N</v>
      </c>
      <c r="R181" s="703" t="str">
        <f t="shared" si="213"/>
        <v>N</v>
      </c>
      <c r="S181" s="703" t="str">
        <f t="shared" si="214"/>
        <v>N</v>
      </c>
      <c r="T181" s="703" t="str">
        <f t="shared" si="215"/>
        <v>N</v>
      </c>
      <c r="U181" s="703" t="str">
        <f t="shared" si="216"/>
        <v>N</v>
      </c>
      <c r="V181" s="703" t="str">
        <f t="shared" si="217"/>
        <v>N</v>
      </c>
      <c r="W181" s="703" t="str">
        <f t="shared" si="218"/>
        <v>N</v>
      </c>
      <c r="X181" s="703" t="str">
        <f t="shared" si="219"/>
        <v>N</v>
      </c>
      <c r="Y181" s="703" t="str">
        <f t="shared" si="220"/>
        <v>N</v>
      </c>
      <c r="Z181" s="703" t="str">
        <f t="shared" si="221"/>
        <v>N</v>
      </c>
      <c r="AA181" s="703" t="str">
        <f t="shared" si="222"/>
        <v>N</v>
      </c>
      <c r="AB181" s="703" t="str">
        <f t="shared" si="223"/>
        <v>N</v>
      </c>
      <c r="AC181" s="703" t="str">
        <f t="shared" si="224"/>
        <v>N</v>
      </c>
      <c r="AD181" s="804"/>
      <c r="AE181" s="804"/>
      <c r="AF181" s="791"/>
      <c r="AG181" s="798"/>
      <c r="AH181" s="928"/>
      <c r="AI181" s="732"/>
      <c r="AJ181" s="733"/>
    </row>
    <row r="182" spans="1:52" hidden="1" outlineLevel="1" x14ac:dyDescent="0.25">
      <c r="A182" s="159"/>
      <c r="B182" s="1359"/>
      <c r="C182" s="667" t="str">
        <f>'Optimalizačné opatrenia'!$B$4</f>
        <v>Zjednotenie</v>
      </c>
      <c r="D182" s="718" t="s">
        <v>530</v>
      </c>
      <c r="E182" s="703" t="s">
        <v>530</v>
      </c>
      <c r="F182" s="703" t="s">
        <v>530</v>
      </c>
      <c r="G182" s="703" t="str">
        <f t="shared" si="211"/>
        <v>A</v>
      </c>
      <c r="H182" s="703"/>
      <c r="I182" s="703"/>
      <c r="J182" s="703"/>
      <c r="K182" s="703"/>
      <c r="L182" s="703" t="str">
        <f t="shared" si="212"/>
        <v>A</v>
      </c>
      <c r="M182" s="703" t="str">
        <f t="shared" si="212"/>
        <v>A</v>
      </c>
      <c r="N182" s="703" t="s">
        <v>530</v>
      </c>
      <c r="O182" s="703"/>
      <c r="P182" s="703" t="str">
        <f t="shared" si="213"/>
        <v>A</v>
      </c>
      <c r="Q182" s="703" t="str">
        <f t="shared" si="213"/>
        <v>A</v>
      </c>
      <c r="R182" s="703" t="str">
        <f t="shared" si="213"/>
        <v>A</v>
      </c>
      <c r="S182" s="703" t="str">
        <f t="shared" si="214"/>
        <v>A</v>
      </c>
      <c r="T182" s="703" t="str">
        <f t="shared" si="215"/>
        <v>A</v>
      </c>
      <c r="U182" s="703" t="str">
        <f t="shared" si="216"/>
        <v>A</v>
      </c>
      <c r="V182" s="703" t="str">
        <f t="shared" si="217"/>
        <v>A</v>
      </c>
      <c r="W182" s="703" t="str">
        <f t="shared" si="218"/>
        <v>A</v>
      </c>
      <c r="X182" s="703" t="str">
        <f t="shared" si="219"/>
        <v>A</v>
      </c>
      <c r="Y182" s="703" t="str">
        <f t="shared" si="220"/>
        <v>A</v>
      </c>
      <c r="Z182" s="703" t="str">
        <f t="shared" si="221"/>
        <v>A</v>
      </c>
      <c r="AA182" s="703" t="str">
        <f t="shared" si="222"/>
        <v>A</v>
      </c>
      <c r="AB182" s="703" t="str">
        <f t="shared" si="223"/>
        <v>A</v>
      </c>
      <c r="AC182" s="703" t="str">
        <f t="shared" si="224"/>
        <v>A</v>
      </c>
      <c r="AD182" s="804"/>
      <c r="AE182" s="804"/>
      <c r="AF182" s="791"/>
      <c r="AG182" s="798"/>
      <c r="AH182" s="928"/>
      <c r="AI182" s="732"/>
      <c r="AJ182" s="733"/>
    </row>
    <row r="183" spans="1:52" hidden="1" outlineLevel="1" x14ac:dyDescent="0.25">
      <c r="A183" s="159"/>
      <c r="B183" s="1359"/>
      <c r="C183" s="667" t="str">
        <f>'Optimalizačné opatrenia'!$B$5</f>
        <v>Centralizácia</v>
      </c>
      <c r="D183" s="718" t="s">
        <v>530</v>
      </c>
      <c r="E183" s="703" t="s">
        <v>530</v>
      </c>
      <c r="F183" s="703" t="s">
        <v>530</v>
      </c>
      <c r="G183" s="703" t="str">
        <f t="shared" si="211"/>
        <v>A</v>
      </c>
      <c r="H183" s="703"/>
      <c r="I183" s="703"/>
      <c r="J183" s="703"/>
      <c r="K183" s="703"/>
      <c r="L183" s="703" t="str">
        <f t="shared" si="212"/>
        <v>A</v>
      </c>
      <c r="M183" s="703" t="str">
        <f t="shared" si="212"/>
        <v>A</v>
      </c>
      <c r="N183" s="703" t="s">
        <v>530</v>
      </c>
      <c r="O183" s="703"/>
      <c r="P183" s="703" t="str">
        <f t="shared" si="213"/>
        <v>A</v>
      </c>
      <c r="Q183" s="703" t="str">
        <f t="shared" si="213"/>
        <v>A</v>
      </c>
      <c r="R183" s="703" t="str">
        <f t="shared" si="213"/>
        <v>A</v>
      </c>
      <c r="S183" s="703" t="str">
        <f t="shared" si="214"/>
        <v>A</v>
      </c>
      <c r="T183" s="703" t="str">
        <f t="shared" si="215"/>
        <v>A</v>
      </c>
      <c r="U183" s="703" t="str">
        <f t="shared" si="216"/>
        <v>A</v>
      </c>
      <c r="V183" s="703" t="str">
        <f t="shared" si="217"/>
        <v>A</v>
      </c>
      <c r="W183" s="703" t="str">
        <f t="shared" si="218"/>
        <v>A</v>
      </c>
      <c r="X183" s="703" t="str">
        <f t="shared" si="219"/>
        <v>A</v>
      </c>
      <c r="Y183" s="703" t="str">
        <f t="shared" si="220"/>
        <v>A</v>
      </c>
      <c r="Z183" s="703" t="str">
        <f t="shared" si="221"/>
        <v>A</v>
      </c>
      <c r="AA183" s="703" t="str">
        <f t="shared" si="222"/>
        <v>A</v>
      </c>
      <c r="AB183" s="703" t="str">
        <f t="shared" si="223"/>
        <v>A</v>
      </c>
      <c r="AC183" s="703" t="str">
        <f t="shared" si="224"/>
        <v>A</v>
      </c>
      <c r="AD183" s="804"/>
      <c r="AE183" s="804"/>
      <c r="AF183" s="791"/>
      <c r="AG183" s="798"/>
      <c r="AH183" s="928"/>
      <c r="AI183" s="732"/>
      <c r="AJ183" s="733"/>
    </row>
    <row r="184" spans="1:52" hidden="1" outlineLevel="1" x14ac:dyDescent="0.25">
      <c r="A184" s="159"/>
      <c r="B184" s="1359"/>
      <c r="C184" s="667" t="str">
        <f>'Optimalizačné opatrenia'!$B$6</f>
        <v>Elektronizácia</v>
      </c>
      <c r="D184" s="718" t="s">
        <v>530</v>
      </c>
      <c r="E184" s="703" t="s">
        <v>530</v>
      </c>
      <c r="F184" s="703" t="s">
        <v>530</v>
      </c>
      <c r="G184" s="703" t="str">
        <f t="shared" si="211"/>
        <v>A</v>
      </c>
      <c r="H184" s="703"/>
      <c r="I184" s="703"/>
      <c r="J184" s="703"/>
      <c r="K184" s="703"/>
      <c r="L184" s="703" t="str">
        <f t="shared" si="212"/>
        <v>A</v>
      </c>
      <c r="M184" s="703" t="str">
        <f t="shared" si="212"/>
        <v>A</v>
      </c>
      <c r="N184" s="703" t="s">
        <v>530</v>
      </c>
      <c r="O184" s="703"/>
      <c r="P184" s="703" t="str">
        <f t="shared" si="213"/>
        <v>A</v>
      </c>
      <c r="Q184" s="703" t="str">
        <f t="shared" si="213"/>
        <v>A</v>
      </c>
      <c r="R184" s="703" t="str">
        <f t="shared" si="213"/>
        <v>A</v>
      </c>
      <c r="S184" s="703" t="str">
        <f t="shared" si="214"/>
        <v>A</v>
      </c>
      <c r="T184" s="703" t="str">
        <f t="shared" si="215"/>
        <v>A</v>
      </c>
      <c r="U184" s="703" t="str">
        <f t="shared" si="216"/>
        <v>A</v>
      </c>
      <c r="V184" s="703" t="str">
        <f t="shared" si="217"/>
        <v>A</v>
      </c>
      <c r="W184" s="703" t="str">
        <f t="shared" si="218"/>
        <v>A</v>
      </c>
      <c r="X184" s="703" t="str">
        <f t="shared" si="219"/>
        <v>A</v>
      </c>
      <c r="Y184" s="703" t="str">
        <f t="shared" si="220"/>
        <v>A</v>
      </c>
      <c r="Z184" s="703" t="str">
        <f t="shared" si="221"/>
        <v>A</v>
      </c>
      <c r="AA184" s="703" t="str">
        <f t="shared" si="222"/>
        <v>A</v>
      </c>
      <c r="AB184" s="703" t="str">
        <f t="shared" si="223"/>
        <v>A</v>
      </c>
      <c r="AC184" s="703" t="str">
        <f t="shared" si="224"/>
        <v>A</v>
      </c>
      <c r="AD184" s="804"/>
      <c r="AE184" s="804"/>
      <c r="AF184" s="791"/>
      <c r="AG184" s="798"/>
      <c r="AH184" s="928"/>
      <c r="AI184" s="732"/>
      <c r="AJ184" s="733"/>
    </row>
    <row r="185" spans="1:52" hidden="1" outlineLevel="1" x14ac:dyDescent="0.25">
      <c r="A185" s="159"/>
      <c r="B185" s="1359"/>
      <c r="C185" s="667" t="str">
        <f>'Optimalizačné opatrenia'!$B$7</f>
        <v>Automatizácia</v>
      </c>
      <c r="D185" s="718" t="s">
        <v>530</v>
      </c>
      <c r="E185" s="703" t="s">
        <v>530</v>
      </c>
      <c r="F185" s="703" t="s">
        <v>530</v>
      </c>
      <c r="G185" s="703" t="str">
        <f t="shared" si="211"/>
        <v>A</v>
      </c>
      <c r="H185" s="703"/>
      <c r="I185" s="703"/>
      <c r="J185" s="703"/>
      <c r="K185" s="703"/>
      <c r="L185" s="703" t="str">
        <f t="shared" si="212"/>
        <v>A</v>
      </c>
      <c r="M185" s="703" t="str">
        <f t="shared" si="212"/>
        <v>A</v>
      </c>
      <c r="N185" s="703" t="s">
        <v>530</v>
      </c>
      <c r="O185" s="703"/>
      <c r="P185" s="703" t="str">
        <f t="shared" si="213"/>
        <v>A</v>
      </c>
      <c r="Q185" s="703" t="str">
        <f t="shared" si="213"/>
        <v>A</v>
      </c>
      <c r="R185" s="703" t="str">
        <f t="shared" si="213"/>
        <v>A</v>
      </c>
      <c r="S185" s="703" t="str">
        <f t="shared" si="214"/>
        <v>A</v>
      </c>
      <c r="T185" s="703" t="str">
        <f t="shared" si="215"/>
        <v>A</v>
      </c>
      <c r="U185" s="703" t="str">
        <f t="shared" si="216"/>
        <v>A</v>
      </c>
      <c r="V185" s="703" t="str">
        <f t="shared" si="217"/>
        <v>A</v>
      </c>
      <c r="W185" s="703" t="str">
        <f t="shared" si="218"/>
        <v>A</v>
      </c>
      <c r="X185" s="703" t="str">
        <f t="shared" si="219"/>
        <v>A</v>
      </c>
      <c r="Y185" s="703" t="str">
        <f t="shared" si="220"/>
        <v>A</v>
      </c>
      <c r="Z185" s="703" t="str">
        <f t="shared" si="221"/>
        <v>A</v>
      </c>
      <c r="AA185" s="703" t="str">
        <f t="shared" si="222"/>
        <v>A</v>
      </c>
      <c r="AB185" s="703" t="str">
        <f t="shared" si="223"/>
        <v>A</v>
      </c>
      <c r="AC185" s="703" t="str">
        <f t="shared" si="224"/>
        <v>A</v>
      </c>
      <c r="AD185" s="804"/>
      <c r="AE185" s="804"/>
      <c r="AF185" s="791"/>
      <c r="AG185" s="798"/>
      <c r="AH185" s="928"/>
      <c r="AI185" s="732"/>
      <c r="AJ185" s="733"/>
    </row>
    <row r="186" spans="1:52" hidden="1" outlineLevel="1" x14ac:dyDescent="0.25">
      <c r="A186" s="159"/>
      <c r="B186" s="1359"/>
      <c r="C186" s="667" t="str">
        <f>'Optimalizačné opatrenia'!$B$8</f>
        <v>Bezpečnosť</v>
      </c>
      <c r="D186" s="718" t="s">
        <v>530</v>
      </c>
      <c r="E186" s="703" t="s">
        <v>530</v>
      </c>
      <c r="F186" s="703" t="s">
        <v>530</v>
      </c>
      <c r="G186" s="703" t="str">
        <f t="shared" si="211"/>
        <v>A</v>
      </c>
      <c r="H186" s="703"/>
      <c r="I186" s="703"/>
      <c r="J186" s="703"/>
      <c r="K186" s="703"/>
      <c r="L186" s="703" t="str">
        <f t="shared" si="212"/>
        <v>A</v>
      </c>
      <c r="M186" s="703" t="str">
        <f t="shared" si="212"/>
        <v>A</v>
      </c>
      <c r="N186" s="703" t="s">
        <v>530</v>
      </c>
      <c r="O186" s="703"/>
      <c r="P186" s="703" t="str">
        <f t="shared" si="213"/>
        <v>A</v>
      </c>
      <c r="Q186" s="703" t="str">
        <f t="shared" si="213"/>
        <v>A</v>
      </c>
      <c r="R186" s="703" t="str">
        <f t="shared" si="213"/>
        <v>A</v>
      </c>
      <c r="S186" s="703" t="str">
        <f t="shared" si="214"/>
        <v>A</v>
      </c>
      <c r="T186" s="703" t="str">
        <f t="shared" si="215"/>
        <v>A</v>
      </c>
      <c r="U186" s="703" t="str">
        <f t="shared" si="216"/>
        <v>A</v>
      </c>
      <c r="V186" s="703" t="str">
        <f t="shared" si="217"/>
        <v>A</v>
      </c>
      <c r="W186" s="703" t="str">
        <f t="shared" si="218"/>
        <v>A</v>
      </c>
      <c r="X186" s="703" t="str">
        <f t="shared" si="219"/>
        <v>A</v>
      </c>
      <c r="Y186" s="703" t="str">
        <f t="shared" si="220"/>
        <v>A</v>
      </c>
      <c r="Z186" s="703" t="str">
        <f t="shared" si="221"/>
        <v>A</v>
      </c>
      <c r="AA186" s="703" t="str">
        <f t="shared" si="222"/>
        <v>A</v>
      </c>
      <c r="AB186" s="703" t="str">
        <f t="shared" si="223"/>
        <v>A</v>
      </c>
      <c r="AC186" s="703" t="str">
        <f t="shared" si="224"/>
        <v>A</v>
      </c>
      <c r="AD186" s="804"/>
      <c r="AE186" s="804"/>
      <c r="AF186" s="791"/>
      <c r="AG186" s="798"/>
      <c r="AH186" s="928"/>
      <c r="AI186" s="732"/>
      <c r="AJ186" s="733"/>
    </row>
    <row r="187" spans="1:52" hidden="1" outlineLevel="1" x14ac:dyDescent="0.25">
      <c r="A187" s="159"/>
      <c r="B187" s="1359"/>
      <c r="C187" s="667" t="str">
        <f>'Optimalizačné opatrenia'!$B$9</f>
        <v>Auditovateľnosť</v>
      </c>
      <c r="D187" s="718" t="s">
        <v>530</v>
      </c>
      <c r="E187" s="703" t="s">
        <v>530</v>
      </c>
      <c r="F187" s="703" t="s">
        <v>530</v>
      </c>
      <c r="G187" s="703" t="str">
        <f t="shared" si="211"/>
        <v>A</v>
      </c>
      <c r="H187" s="703"/>
      <c r="I187" s="703"/>
      <c r="J187" s="703"/>
      <c r="K187" s="703"/>
      <c r="L187" s="703" t="str">
        <f t="shared" si="212"/>
        <v>A</v>
      </c>
      <c r="M187" s="703" t="str">
        <f t="shared" si="212"/>
        <v>A</v>
      </c>
      <c r="N187" s="703" t="s">
        <v>530</v>
      </c>
      <c r="O187" s="703"/>
      <c r="P187" s="703" t="str">
        <f t="shared" si="213"/>
        <v>A</v>
      </c>
      <c r="Q187" s="703" t="str">
        <f t="shared" si="213"/>
        <v>A</v>
      </c>
      <c r="R187" s="703" t="str">
        <f t="shared" si="213"/>
        <v>A</v>
      </c>
      <c r="S187" s="703" t="str">
        <f t="shared" si="214"/>
        <v>A</v>
      </c>
      <c r="T187" s="703" t="str">
        <f t="shared" si="215"/>
        <v>A</v>
      </c>
      <c r="U187" s="703" t="str">
        <f t="shared" si="216"/>
        <v>A</v>
      </c>
      <c r="V187" s="703" t="str">
        <f t="shared" si="217"/>
        <v>A</v>
      </c>
      <c r="W187" s="703" t="str">
        <f t="shared" si="218"/>
        <v>A</v>
      </c>
      <c r="X187" s="703" t="str">
        <f t="shared" si="219"/>
        <v>A</v>
      </c>
      <c r="Y187" s="703" t="str">
        <f t="shared" si="220"/>
        <v>A</v>
      </c>
      <c r="Z187" s="703" t="str">
        <f t="shared" si="221"/>
        <v>A</v>
      </c>
      <c r="AA187" s="703" t="str">
        <f t="shared" si="222"/>
        <v>A</v>
      </c>
      <c r="AB187" s="703" t="str">
        <f t="shared" si="223"/>
        <v>A</v>
      </c>
      <c r="AC187" s="703" t="str">
        <f t="shared" si="224"/>
        <v>A</v>
      </c>
      <c r="AD187" s="804"/>
      <c r="AE187" s="804"/>
      <c r="AF187" s="791"/>
      <c r="AG187" s="798"/>
      <c r="AH187" s="928"/>
      <c r="AI187" s="732"/>
      <c r="AJ187" s="733"/>
    </row>
    <row r="188" spans="1:52" hidden="1" outlineLevel="1" x14ac:dyDescent="0.25">
      <c r="A188" s="159"/>
      <c r="B188" s="1359"/>
      <c r="C188" s="667" t="str">
        <f>'Optimalizačné opatrenia'!$B$10</f>
        <v>Transparentnosť</v>
      </c>
      <c r="D188" s="718" t="s">
        <v>530</v>
      </c>
      <c r="E188" s="703" t="s">
        <v>530</v>
      </c>
      <c r="F188" s="703" t="s">
        <v>530</v>
      </c>
      <c r="G188" s="703" t="str">
        <f t="shared" si="211"/>
        <v>N</v>
      </c>
      <c r="H188" s="703"/>
      <c r="I188" s="703"/>
      <c r="J188" s="703"/>
      <c r="K188" s="703"/>
      <c r="L188" s="703" t="str">
        <f t="shared" si="212"/>
        <v>N</v>
      </c>
      <c r="M188" s="703" t="str">
        <f t="shared" si="212"/>
        <v>N</v>
      </c>
      <c r="N188" s="703" t="s">
        <v>530</v>
      </c>
      <c r="O188" s="703"/>
      <c r="P188" s="703" t="str">
        <f t="shared" si="213"/>
        <v>A</v>
      </c>
      <c r="Q188" s="703" t="str">
        <f t="shared" si="213"/>
        <v>N</v>
      </c>
      <c r="R188" s="703" t="str">
        <f t="shared" si="213"/>
        <v>N</v>
      </c>
      <c r="S188" s="703" t="str">
        <f t="shared" si="214"/>
        <v>N</v>
      </c>
      <c r="T188" s="703" t="str">
        <f t="shared" si="215"/>
        <v>N</v>
      </c>
      <c r="U188" s="703" t="str">
        <f t="shared" si="216"/>
        <v>N</v>
      </c>
      <c r="V188" s="703" t="str">
        <f t="shared" si="217"/>
        <v>A</v>
      </c>
      <c r="W188" s="703" t="str">
        <f t="shared" si="218"/>
        <v>N</v>
      </c>
      <c r="X188" s="703" t="str">
        <f t="shared" si="219"/>
        <v>N</v>
      </c>
      <c r="Y188" s="703" t="str">
        <f t="shared" si="220"/>
        <v>N</v>
      </c>
      <c r="Z188" s="703" t="str">
        <f t="shared" si="221"/>
        <v>N</v>
      </c>
      <c r="AA188" s="703" t="str">
        <f t="shared" si="222"/>
        <v>A</v>
      </c>
      <c r="AB188" s="703" t="str">
        <f t="shared" si="223"/>
        <v>N</v>
      </c>
      <c r="AC188" s="703" t="str">
        <f t="shared" si="224"/>
        <v>N</v>
      </c>
      <c r="AD188" s="804"/>
      <c r="AE188" s="804"/>
      <c r="AF188" s="791"/>
      <c r="AG188" s="798"/>
      <c r="AH188" s="928"/>
      <c r="AI188" s="732"/>
      <c r="AJ188" s="733"/>
    </row>
    <row r="189" spans="1:52" hidden="1" outlineLevel="1" x14ac:dyDescent="0.25">
      <c r="A189" s="159"/>
      <c r="B189" s="1359"/>
      <c r="C189" s="667" t="str">
        <f>'Optimalizačné opatrenia'!$B$11</f>
        <v>Analyzovatelnosť</v>
      </c>
      <c r="D189" s="718" t="s">
        <v>530</v>
      </c>
      <c r="E189" s="703" t="s">
        <v>530</v>
      </c>
      <c r="F189" s="703" t="s">
        <v>530</v>
      </c>
      <c r="G189" s="703" t="str">
        <f t="shared" si="211"/>
        <v>A</v>
      </c>
      <c r="H189" s="703"/>
      <c r="I189" s="703"/>
      <c r="J189" s="703"/>
      <c r="K189" s="703"/>
      <c r="L189" s="703" t="str">
        <f t="shared" si="212"/>
        <v>A</v>
      </c>
      <c r="M189" s="703" t="str">
        <f t="shared" si="212"/>
        <v>A</v>
      </c>
      <c r="N189" s="703" t="s">
        <v>530</v>
      </c>
      <c r="O189" s="703"/>
      <c r="P189" s="703" t="str">
        <f t="shared" si="213"/>
        <v>A</v>
      </c>
      <c r="Q189" s="703" t="str">
        <f t="shared" si="213"/>
        <v>A</v>
      </c>
      <c r="R189" s="703" t="str">
        <f t="shared" si="213"/>
        <v>A</v>
      </c>
      <c r="S189" s="703" t="str">
        <f t="shared" si="214"/>
        <v>A</v>
      </c>
      <c r="T189" s="703" t="str">
        <f t="shared" si="215"/>
        <v>A</v>
      </c>
      <c r="U189" s="703" t="str">
        <f t="shared" si="216"/>
        <v>A</v>
      </c>
      <c r="V189" s="703" t="str">
        <f t="shared" si="217"/>
        <v>A</v>
      </c>
      <c r="W189" s="703" t="str">
        <f t="shared" si="218"/>
        <v>A</v>
      </c>
      <c r="X189" s="703" t="str">
        <f t="shared" si="219"/>
        <v>A</v>
      </c>
      <c r="Y189" s="703" t="str">
        <f t="shared" si="220"/>
        <v>A</v>
      </c>
      <c r="Z189" s="703" t="str">
        <f t="shared" si="221"/>
        <v>A</v>
      </c>
      <c r="AA189" s="703" t="str">
        <f t="shared" si="222"/>
        <v>A</v>
      </c>
      <c r="AB189" s="703" t="str">
        <f t="shared" si="223"/>
        <v>A</v>
      </c>
      <c r="AC189" s="703" t="str">
        <f t="shared" si="224"/>
        <v>A</v>
      </c>
      <c r="AD189" s="804"/>
      <c r="AE189" s="804"/>
      <c r="AF189" s="791"/>
      <c r="AG189" s="798"/>
      <c r="AH189" s="928"/>
      <c r="AI189" s="732"/>
      <c r="AJ189" s="733"/>
    </row>
    <row r="190" spans="1:52" hidden="1" outlineLevel="1" x14ac:dyDescent="0.25">
      <c r="A190" s="159"/>
      <c r="B190" s="1359"/>
      <c r="C190" s="667" t="str">
        <f>'Optimalizačné opatrenia'!$B$12</f>
        <v>Integrácia</v>
      </c>
      <c r="D190" s="718" t="s">
        <v>530</v>
      </c>
      <c r="E190" s="703" t="s">
        <v>530</v>
      </c>
      <c r="F190" s="703" t="s">
        <v>530</v>
      </c>
      <c r="G190" s="703" t="str">
        <f t="shared" si="211"/>
        <v>A</v>
      </c>
      <c r="H190" s="703"/>
      <c r="I190" s="703"/>
      <c r="J190" s="703"/>
      <c r="K190" s="703"/>
      <c r="L190" s="703" t="str">
        <f t="shared" si="212"/>
        <v>A</v>
      </c>
      <c r="M190" s="703" t="str">
        <f t="shared" si="212"/>
        <v>A</v>
      </c>
      <c r="N190" s="703" t="s">
        <v>530</v>
      </c>
      <c r="O190" s="703"/>
      <c r="P190" s="703" t="str">
        <f t="shared" si="213"/>
        <v>A</v>
      </c>
      <c r="Q190" s="703" t="str">
        <f t="shared" si="213"/>
        <v>A</v>
      </c>
      <c r="R190" s="703" t="str">
        <f t="shared" si="213"/>
        <v>A</v>
      </c>
      <c r="S190" s="703" t="str">
        <f t="shared" si="214"/>
        <v>A</v>
      </c>
      <c r="T190" s="703" t="str">
        <f t="shared" si="215"/>
        <v>A</v>
      </c>
      <c r="U190" s="703" t="str">
        <f t="shared" si="216"/>
        <v>A</v>
      </c>
      <c r="V190" s="703" t="str">
        <f t="shared" si="217"/>
        <v>A</v>
      </c>
      <c r="W190" s="703" t="str">
        <f t="shared" si="218"/>
        <v>A</v>
      </c>
      <c r="X190" s="703" t="str">
        <f t="shared" si="219"/>
        <v>A</v>
      </c>
      <c r="Y190" s="703" t="str">
        <f t="shared" si="220"/>
        <v>A</v>
      </c>
      <c r="Z190" s="703" t="str">
        <f t="shared" si="221"/>
        <v>A</v>
      </c>
      <c r="AA190" s="703" t="str">
        <f t="shared" si="222"/>
        <v>A</v>
      </c>
      <c r="AB190" s="703" t="str">
        <f t="shared" si="223"/>
        <v>A</v>
      </c>
      <c r="AC190" s="703" t="str">
        <f t="shared" si="224"/>
        <v>A</v>
      </c>
      <c r="AD190" s="804"/>
      <c r="AE190" s="804"/>
      <c r="AF190" s="791"/>
      <c r="AG190" s="798"/>
      <c r="AH190" s="928"/>
      <c r="AI190" s="732"/>
      <c r="AJ190" s="733"/>
    </row>
    <row r="191" spans="1:52" hidden="1" outlineLevel="1" x14ac:dyDescent="0.25">
      <c r="A191" s="159"/>
      <c r="B191" s="1359"/>
      <c r="C191" s="672" t="str">
        <f>'Optimalizačné opatrenia'!$B$13</f>
        <v>Proaktivita</v>
      </c>
      <c r="D191" s="718" t="s">
        <v>530</v>
      </c>
      <c r="E191" s="703" t="s">
        <v>530</v>
      </c>
      <c r="F191" s="703" t="s">
        <v>530</v>
      </c>
      <c r="G191" s="703" t="str">
        <f t="shared" si="211"/>
        <v>N</v>
      </c>
      <c r="H191" s="703"/>
      <c r="I191" s="703"/>
      <c r="J191" s="703"/>
      <c r="K191" s="703"/>
      <c r="L191" s="703" t="str">
        <f t="shared" si="212"/>
        <v>A</v>
      </c>
      <c r="M191" s="703" t="str">
        <f t="shared" si="212"/>
        <v>N</v>
      </c>
      <c r="N191" s="703" t="s">
        <v>530</v>
      </c>
      <c r="O191" s="703"/>
      <c r="P191" s="703" t="str">
        <f t="shared" si="213"/>
        <v>N</v>
      </c>
      <c r="Q191" s="703" t="str">
        <f t="shared" si="213"/>
        <v>N</v>
      </c>
      <c r="R191" s="703" t="str">
        <f t="shared" si="213"/>
        <v>A</v>
      </c>
      <c r="S191" s="703" t="str">
        <f t="shared" si="214"/>
        <v>A</v>
      </c>
      <c r="T191" s="703" t="str">
        <f t="shared" si="215"/>
        <v>A</v>
      </c>
      <c r="U191" s="703" t="str">
        <f t="shared" si="216"/>
        <v>N</v>
      </c>
      <c r="V191" s="703" t="str">
        <f t="shared" si="217"/>
        <v>A</v>
      </c>
      <c r="W191" s="703" t="str">
        <f t="shared" si="218"/>
        <v>N</v>
      </c>
      <c r="X191" s="703" t="str">
        <f t="shared" si="219"/>
        <v>N</v>
      </c>
      <c r="Y191" s="703" t="str">
        <f t="shared" si="220"/>
        <v>A</v>
      </c>
      <c r="Z191" s="703" t="str">
        <f t="shared" si="221"/>
        <v>A</v>
      </c>
      <c r="AA191" s="703" t="str">
        <f t="shared" si="222"/>
        <v>A</v>
      </c>
      <c r="AB191" s="703" t="str">
        <f t="shared" si="223"/>
        <v>N</v>
      </c>
      <c r="AC191" s="703" t="str">
        <f t="shared" si="224"/>
        <v>A</v>
      </c>
      <c r="AD191" s="804"/>
      <c r="AE191" s="804"/>
      <c r="AF191" s="791"/>
      <c r="AG191" s="798"/>
      <c r="AH191" s="928"/>
      <c r="AI191" s="732"/>
      <c r="AJ191" s="733"/>
    </row>
    <row r="192" spans="1:52" hidden="1" outlineLevel="1" x14ac:dyDescent="0.25">
      <c r="A192" s="159"/>
      <c r="B192" s="720"/>
      <c r="C192" s="722" t="s">
        <v>538</v>
      </c>
      <c r="D192" s="723">
        <v>0</v>
      </c>
      <c r="E192" s="721">
        <v>0</v>
      </c>
      <c r="F192" s="724">
        <v>0</v>
      </c>
      <c r="G192" s="724">
        <f t="shared" si="211"/>
        <v>0.3</v>
      </c>
      <c r="H192" s="724"/>
      <c r="I192" s="724"/>
      <c r="J192" s="724"/>
      <c r="K192" s="724"/>
      <c r="L192" s="724">
        <f t="shared" si="212"/>
        <v>0.4</v>
      </c>
      <c r="M192" s="724">
        <f t="shared" si="212"/>
        <v>0.3</v>
      </c>
      <c r="N192" s="724">
        <v>0</v>
      </c>
      <c r="O192" s="724"/>
      <c r="P192" s="724">
        <f t="shared" si="213"/>
        <v>0.45</v>
      </c>
      <c r="Q192" s="724">
        <f t="shared" si="213"/>
        <v>0.3</v>
      </c>
      <c r="R192" s="724">
        <f t="shared" si="213"/>
        <v>0.4</v>
      </c>
      <c r="S192" s="724">
        <f t="shared" si="214"/>
        <v>0.4</v>
      </c>
      <c r="T192" s="724">
        <f t="shared" si="215"/>
        <v>0.4</v>
      </c>
      <c r="U192" s="724">
        <f t="shared" si="216"/>
        <v>0.3</v>
      </c>
      <c r="V192" s="724">
        <f t="shared" si="217"/>
        <v>0.5</v>
      </c>
      <c r="W192" s="724">
        <f t="shared" si="218"/>
        <v>0.3</v>
      </c>
      <c r="X192" s="724">
        <f t="shared" si="219"/>
        <v>0.3</v>
      </c>
      <c r="Y192" s="724">
        <f t="shared" si="220"/>
        <v>0.4</v>
      </c>
      <c r="Z192" s="724">
        <f t="shared" si="221"/>
        <v>0.4</v>
      </c>
      <c r="AA192" s="724">
        <f t="shared" si="222"/>
        <v>0.5</v>
      </c>
      <c r="AB192" s="724">
        <f t="shared" si="223"/>
        <v>0.3</v>
      </c>
      <c r="AC192" s="724">
        <f t="shared" si="224"/>
        <v>0.4</v>
      </c>
      <c r="AD192" s="805"/>
      <c r="AE192" s="805"/>
      <c r="AF192" s="792"/>
      <c r="AG192" s="799"/>
      <c r="AH192" s="929"/>
      <c r="AI192" s="735"/>
      <c r="AJ192" s="736"/>
    </row>
    <row r="193" spans="1:52" ht="15.75" collapsed="1" thickBot="1" x14ac:dyDescent="0.3">
      <c r="A193" s="159"/>
      <c r="B193" s="741"/>
      <c r="C193" s="742" t="s">
        <v>588</v>
      </c>
      <c r="D193" s="743"/>
      <c r="E193" s="743"/>
      <c r="F193" s="743"/>
      <c r="G193" s="744"/>
      <c r="H193" s="744"/>
      <c r="I193" s="744"/>
      <c r="J193" s="744"/>
      <c r="K193" s="744"/>
      <c r="L193" s="744"/>
      <c r="M193" s="744"/>
      <c r="N193" s="744"/>
      <c r="O193" s="744"/>
      <c r="P193" s="744"/>
      <c r="Q193" s="744"/>
      <c r="R193" s="744"/>
      <c r="S193" s="744"/>
      <c r="T193" s="744"/>
      <c r="U193" s="744"/>
      <c r="V193" s="744"/>
      <c r="W193" s="744"/>
      <c r="X193" s="744"/>
      <c r="Y193" s="744"/>
      <c r="Z193" s="744"/>
      <c r="AA193" s="744"/>
      <c r="AB193" s="744"/>
      <c r="AC193" s="744"/>
      <c r="AD193" s="751"/>
      <c r="AE193" s="751"/>
      <c r="AF193" s="793"/>
      <c r="AG193" s="800">
        <f>'Procesy - AS IS'!AG48/(1+$AF94)-'Procesy - AS IS'!AG48</f>
        <v>47.282378027372943</v>
      </c>
      <c r="AH193" s="930">
        <f>'Procesy - AS IS'!AH48/(1+$AF94)-'Procesy - AS IS'!AH48</f>
        <v>16.504226292573577</v>
      </c>
      <c r="AI193" s="746">
        <f>'Procesy - AS IS'!AI48/(1+$AF94)-'Procesy - AS IS'!AI48</f>
        <v>14.719985612295353</v>
      </c>
      <c r="AJ193" s="747">
        <f>'Procesy - AS IS'!AJ48/(1+$AF94)-'Procesy - AS IS'!AJ48</f>
        <v>2.6763610204173371</v>
      </c>
    </row>
    <row r="194" spans="1:52" x14ac:dyDescent="0.25">
      <c r="A194" s="159"/>
      <c r="B194" s="657" t="str">
        <f>'Procesy - AS IS'!B49</f>
        <v>Zdroj 3</v>
      </c>
      <c r="C194" s="658" t="str">
        <f>'Procesy - AS IS'!C49</f>
        <v>Inšpekcia odpadového hospodárstva</v>
      </c>
      <c r="D194" s="726">
        <f>D195*$AG195/($AG194-$AG293)+D209*$AG195/($AG194-$AG293)+D223*$AG195/($AG194-$AG293)+D265*$AG195/($AG194-$AG293)+D279*$AG195/($AG194-$AG293)</f>
        <v>0</v>
      </c>
      <c r="E194" s="651">
        <f>E195*$AG195/($AG194-$AG293)+E209*$AG195/($AG194-$AG293)+E223*$AG195/($AG194-$AG293)+E265*$AG195/($AG194-$AG293)+E279*$AG195/($AG194-$AG293)</f>
        <v>0</v>
      </c>
      <c r="F194" s="651">
        <f>F195*$AG195/($AG194-$AG293)+F209*$AG195/($AG194-$AG293)+F223*$AG195/($AG194-$AG293)+F265*$AG195/($AG194-$AG293)+F279*$AG195/($AG194-$AG293)</f>
        <v>0</v>
      </c>
      <c r="G194" s="661">
        <f>G195*$AG195/($AG194-$AG293)+G209*$AG195/($AG194-$AG293)+G223*$AG195/($AG194-$AG293)+G265*$AG195/($AG194-$AG293)+G279*$AG195/($AG194-$AG293)</f>
        <v>-3.0154746937285752</v>
      </c>
      <c r="H194" s="654"/>
      <c r="I194" s="654"/>
      <c r="J194" s="654"/>
      <c r="K194" s="654"/>
      <c r="L194" s="661">
        <f>L195*$AG195/($AG194-$AG293)+L209*$AG195/($AG194-$AG293)+L223*$AG195/($AG194-$AG293)+L265*$AG195/($AG194-$AG293)+L279*$AG195/($AG194-$AG293)</f>
        <v>-0.10256716645335291</v>
      </c>
      <c r="M194" s="661">
        <f>M195*$AG195/($AG194-$AG293)+M209*$AG195/($AG194-$AG293)+M223*$AG195/($AG194-$AG293)+M265*$AG195/($AG194-$AG293)+M279*$AG195/($AG194-$AG293)</f>
        <v>-1.0154149478881938</v>
      </c>
      <c r="N194" s="661">
        <f>N195*$AG195/($AG194-$AG293)+N209*$AG195/($AG194-$AG293)+N223*$AG195/($AG194-$AG293)+N265*$AG195/($AG194-$AG293)+N279*$AG195/($AG194-$AG293)</f>
        <v>0</v>
      </c>
      <c r="O194" s="651"/>
      <c r="P194" s="651">
        <f t="shared" ref="P194:AB194" si="225">P195*$AG195/($AG194-$AG293)+P209*$AG195/($AG194-$AG293)+P223*$AG195/($AG194-$AG293)+P265*$AG195/($AG194-$AG293)+P279*$AG195/($AG194-$AG293)</f>
        <v>-4.9847642896329516</v>
      </c>
      <c r="Q194" s="651">
        <f t="shared" si="225"/>
        <v>0</v>
      </c>
      <c r="R194" s="651">
        <f t="shared" si="225"/>
        <v>-3.5083683770480243</v>
      </c>
      <c r="S194" s="651">
        <f t="shared" si="225"/>
        <v>-6.7483482682872662</v>
      </c>
      <c r="T194" s="651">
        <f t="shared" si="225"/>
        <v>-1.7451289335285991</v>
      </c>
      <c r="U194" s="651">
        <f t="shared" si="225"/>
        <v>-1.8464596593783735</v>
      </c>
      <c r="V194" s="651">
        <f t="shared" si="225"/>
        <v>-0.30770149936005875</v>
      </c>
      <c r="W194" s="651">
        <f t="shared" si="225"/>
        <v>-6.3400024467128988E-2</v>
      </c>
      <c r="X194" s="651">
        <f t="shared" si="225"/>
        <v>0</v>
      </c>
      <c r="Y194" s="651">
        <f t="shared" si="225"/>
        <v>-0.66804367294868205</v>
      </c>
      <c r="Z194" s="651">
        <f t="shared" si="225"/>
        <v>-3.9917538829755839E-3</v>
      </c>
      <c r="AA194" s="651">
        <f t="shared" si="225"/>
        <v>-1.4852990128476405E-2</v>
      </c>
      <c r="AB194" s="651">
        <f t="shared" si="225"/>
        <v>-9.8624018113211961E-2</v>
      </c>
      <c r="AC194" s="651">
        <f>AC195*$AG195/($AG194-$AG293)+AC209*$AG209/($AG194-$AG293)+AC223*$AG223/($AG194-$AG293)+AC237*$AG237/($AG194-$AG293)+AC251*$AG251/($AG194-$AG293)+AC265*$AG265/($AG194-$AG293)+AC279*$AG279/($AG194-$AG293)</f>
        <v>-0.20523509681611585</v>
      </c>
      <c r="AD194" s="752"/>
      <c r="AE194" s="752">
        <f>SUM(AE195:AE279)</f>
        <v>-174.31459882782707</v>
      </c>
      <c r="AF194" s="790">
        <f>-SUM(AG195:AG292)/('Procesy - AS IS'!AG49+SUM(AG195:AG292))</f>
        <v>-0.23512619974153531</v>
      </c>
      <c r="AG194" s="801">
        <f>SUM(AG195:AG293)</f>
        <v>211.18738694912844</v>
      </c>
      <c r="AH194" s="931">
        <f>SUM(AH195:AH293)</f>
        <v>58.19084604590676</v>
      </c>
      <c r="AI194" s="737">
        <f>SUM(AI195:AI293)</f>
        <v>35.21744559468943</v>
      </c>
      <c r="AJ194" s="738">
        <f>SUM(AJ195:AJ293)</f>
        <v>5.9338264396441209</v>
      </c>
      <c r="AL194" s="232"/>
      <c r="AM194"/>
      <c r="AZ194" s="227"/>
    </row>
    <row r="195" spans="1:52" ht="60" x14ac:dyDescent="0.25">
      <c r="A195" s="159">
        <f ca="1">OFFSET(A195,-16,0)+1</f>
        <v>14</v>
      </c>
      <c r="B195" s="668" t="str">
        <f ca="1">'Procesy - AS IS'!B50</f>
        <v>Meranie č. 14</v>
      </c>
      <c r="C195" s="671" t="str">
        <f>'Procesy - AS IS'!C50</f>
        <v>Jozef Gregor, EKO TRANS, Pezinok, prevádzka Pod gaštanmi, Bratislava, Kontrola pôvodcov a držiteľov odpadov, 4087/2018</v>
      </c>
      <c r="D195" s="726">
        <f>-'Procesy - AS IS'!D52*D208</f>
        <v>0</v>
      </c>
      <c r="E195" s="653">
        <f>-'Procesy - AS IS'!E52*E208</f>
        <v>0</v>
      </c>
      <c r="F195" s="653">
        <f>-'Procesy - AS IS'!F52*F208</f>
        <v>0</v>
      </c>
      <c r="G195" s="653">
        <f>-'Procesy - AS IS'!G52*G208</f>
        <v>-0.89999999999999991</v>
      </c>
      <c r="H195" s="653" t="s">
        <v>555</v>
      </c>
      <c r="I195" s="653" t="s">
        <v>555</v>
      </c>
      <c r="J195" s="653" t="s">
        <v>555</v>
      </c>
      <c r="K195" s="653" t="s">
        <v>555</v>
      </c>
      <c r="L195" s="653">
        <f>-'Procesy - AS IS'!L52*L208</f>
        <v>-0.2</v>
      </c>
      <c r="M195" s="653">
        <f>-'Procesy - AS IS'!M52*M208</f>
        <v>-0.89999999999999991</v>
      </c>
      <c r="N195" s="653">
        <f>-'Procesy - AS IS'!N52*N208</f>
        <v>0</v>
      </c>
      <c r="O195" s="653" t="s">
        <v>559</v>
      </c>
      <c r="P195" s="653">
        <f>-'Procesy - AS IS'!P52*P208</f>
        <v>-3.6</v>
      </c>
      <c r="Q195" s="653">
        <f>-'Procesy - AS IS'!Q52*Q208</f>
        <v>0</v>
      </c>
      <c r="R195" s="653">
        <f>-'Procesy - AS IS'!R52*R208</f>
        <v>-1.862776618668126</v>
      </c>
      <c r="S195" s="653">
        <f>-'Procesy - AS IS'!S52*S208</f>
        <v>-4.1372233813318742</v>
      </c>
      <c r="T195" s="653">
        <f>-'Procesy - AS IS'!T52*T208</f>
        <v>-1.241851079112084</v>
      </c>
      <c r="U195" s="653">
        <f>-'Procesy - AS IS'!U52*U208</f>
        <v>-0.20686116906659369</v>
      </c>
      <c r="V195" s="653">
        <f>-'Procesy - AS IS'!V52*V208</f>
        <v>-0.25</v>
      </c>
      <c r="W195" s="653">
        <f>-'Procesy - AS IS'!W52*W208</f>
        <v>-8.5207100591715976E-2</v>
      </c>
      <c r="X195" s="653">
        <f>-'Procesy - AS IS'!X52*X208</f>
        <v>0</v>
      </c>
      <c r="Y195" s="653">
        <f>-'Procesy - AS IS'!Y52*Y208</f>
        <v>-0.75739644970414199</v>
      </c>
      <c r="Z195" s="653">
        <f>-'Procesy - AS IS'!Z52*Z208</f>
        <v>-7.3964497041420114E-3</v>
      </c>
      <c r="AA195" s="653">
        <f>-'Procesy - AS IS'!AA52*AA208</f>
        <v>-2.9585798816568046E-2</v>
      </c>
      <c r="AB195" s="653">
        <f>-'Procesy - AS IS'!AB52*AB208</f>
        <v>-0.1420118343195266</v>
      </c>
      <c r="AC195" s="653">
        <f>-'Procesy - AS IS'!AC52*AC208</f>
        <v>-0.29585798816568043</v>
      </c>
      <c r="AD195" s="754"/>
      <c r="AE195" s="754">
        <f>SUM(D195:AC195)</f>
        <v>-14.616167869480455</v>
      </c>
      <c r="AF195" s="728">
        <f>AE195/'Procesy - AS IS'!AD52</f>
        <v>-0.29399256991503558</v>
      </c>
      <c r="AG195" s="797">
        <f>('Procesy - AS IS'!AG52/(1+$AF195)-'Procesy - AS IS'!AG52)/2</f>
        <v>35.18712565791391</v>
      </c>
      <c r="AH195" s="927">
        <f>('Procesy - AS IS'!AH52/(1+$AF195)-'Procesy - AS IS'!AH52)/2</f>
        <v>10.924292492283222</v>
      </c>
      <c r="AI195" s="730">
        <f>('Procesy - AS IS'!AI52/(1+$AF195)-'Procesy - AS IS'!AI52)/2</f>
        <v>6.6626510121493787</v>
      </c>
      <c r="AJ195" s="731">
        <f>('Procesy - AS IS'!AJ52/(1+$AF195)-'Procesy - AS IS'!AJ52)/2</f>
        <v>1.0410392206483405</v>
      </c>
      <c r="AL195" s="232"/>
      <c r="AZ195" s="227"/>
    </row>
    <row r="196" spans="1:52" hidden="1" outlineLevel="1" x14ac:dyDescent="0.25">
      <c r="A196" s="159"/>
      <c r="B196" s="1358" t="s">
        <v>528</v>
      </c>
      <c r="C196" s="667" t="str">
        <f>'Optimalizačné opatrenia'!$B$2</f>
        <v>Modernizácia</v>
      </c>
      <c r="D196" s="718" t="s">
        <v>530</v>
      </c>
      <c r="E196" s="703" t="s">
        <v>530</v>
      </c>
      <c r="F196" s="703" t="s">
        <v>530</v>
      </c>
      <c r="G196" s="703" t="str">
        <f t="shared" ref="G196:G208" si="226">G80</f>
        <v>A</v>
      </c>
      <c r="H196" s="703"/>
      <c r="I196" s="703"/>
      <c r="J196" s="703"/>
      <c r="K196" s="703"/>
      <c r="L196" s="703" t="str">
        <f t="shared" ref="L196:L208" si="227">R110</f>
        <v>A</v>
      </c>
      <c r="M196" s="703" t="str">
        <f t="shared" ref="M196:M208" si="228">G196</f>
        <v>A</v>
      </c>
      <c r="N196" s="703" t="s">
        <v>530</v>
      </c>
      <c r="O196" s="703"/>
      <c r="P196" s="703" t="str">
        <f t="shared" ref="P196:P208" si="229">P10</f>
        <v>A</v>
      </c>
      <c r="Q196" s="703" t="str">
        <f t="shared" ref="Q196:Q208" si="230">G196</f>
        <v>A</v>
      </c>
      <c r="R196" s="703" t="str">
        <f t="shared" ref="R196:R208" si="231">R38</f>
        <v>A</v>
      </c>
      <c r="S196" s="703" t="str">
        <f t="shared" ref="S196:S208" si="232">R196</f>
        <v>A</v>
      </c>
      <c r="T196" s="703" t="str">
        <f t="shared" ref="T196:T208" si="233">R196</f>
        <v>A</v>
      </c>
      <c r="U196" s="703" t="str">
        <f t="shared" ref="U196:U208" si="234">G196</f>
        <v>A</v>
      </c>
      <c r="V196" s="703" t="str">
        <f t="shared" ref="V196:W208" si="235">V10</f>
        <v>A</v>
      </c>
      <c r="W196" s="703" t="str">
        <f t="shared" si="235"/>
        <v>A</v>
      </c>
      <c r="X196" s="703" t="str">
        <f t="shared" ref="X196:X208" si="236">G196</f>
        <v>A</v>
      </c>
      <c r="Y196" s="703" t="str">
        <f t="shared" ref="Y196:Y208" si="237">R196</f>
        <v>A</v>
      </c>
      <c r="Z196" s="703" t="str">
        <f t="shared" ref="Z196:Z208" si="238">R196</f>
        <v>A</v>
      </c>
      <c r="AA196" s="703" t="str">
        <f t="shared" ref="AA196:AA208" si="239">$V196</f>
        <v>A</v>
      </c>
      <c r="AB196" s="703" t="str">
        <f t="shared" ref="AB196:AB208" si="240">G196</f>
        <v>A</v>
      </c>
      <c r="AC196" s="703" t="str">
        <f t="shared" ref="AC196:AC208" si="241">R196</f>
        <v>A</v>
      </c>
      <c r="AD196" s="804"/>
      <c r="AE196" s="804"/>
      <c r="AF196" s="791"/>
      <c r="AG196" s="798"/>
      <c r="AH196" s="928"/>
      <c r="AI196" s="732"/>
      <c r="AJ196" s="733"/>
    </row>
    <row r="197" spans="1:52" hidden="1" outlineLevel="1" x14ac:dyDescent="0.25">
      <c r="A197" s="159"/>
      <c r="B197" s="1359"/>
      <c r="C197" s="667" t="str">
        <f>'Optimalizačné opatrenia'!$B$3</f>
        <v>Sfunkčnenie</v>
      </c>
      <c r="D197" s="718" t="s">
        <v>530</v>
      </c>
      <c r="E197" s="703" t="s">
        <v>530</v>
      </c>
      <c r="F197" s="703" t="s">
        <v>530</v>
      </c>
      <c r="G197" s="703" t="str">
        <f t="shared" si="226"/>
        <v>N</v>
      </c>
      <c r="H197" s="703"/>
      <c r="I197" s="703"/>
      <c r="J197" s="703"/>
      <c r="K197" s="703"/>
      <c r="L197" s="703" t="str">
        <f t="shared" si="227"/>
        <v>N</v>
      </c>
      <c r="M197" s="703" t="str">
        <f t="shared" si="228"/>
        <v>N</v>
      </c>
      <c r="N197" s="703" t="s">
        <v>530</v>
      </c>
      <c r="O197" s="703"/>
      <c r="P197" s="703" t="str">
        <f t="shared" si="229"/>
        <v>N</v>
      </c>
      <c r="Q197" s="703" t="str">
        <f t="shared" si="230"/>
        <v>N</v>
      </c>
      <c r="R197" s="703" t="str">
        <f t="shared" si="231"/>
        <v>N</v>
      </c>
      <c r="S197" s="703" t="str">
        <f t="shared" si="232"/>
        <v>N</v>
      </c>
      <c r="T197" s="703" t="str">
        <f t="shared" si="233"/>
        <v>N</v>
      </c>
      <c r="U197" s="703" t="str">
        <f t="shared" si="234"/>
        <v>N</v>
      </c>
      <c r="V197" s="703" t="str">
        <f t="shared" si="235"/>
        <v>N</v>
      </c>
      <c r="W197" s="703" t="str">
        <f t="shared" si="235"/>
        <v>N</v>
      </c>
      <c r="X197" s="703" t="str">
        <f t="shared" si="236"/>
        <v>N</v>
      </c>
      <c r="Y197" s="703" t="str">
        <f t="shared" si="237"/>
        <v>N</v>
      </c>
      <c r="Z197" s="703" t="str">
        <f t="shared" si="238"/>
        <v>N</v>
      </c>
      <c r="AA197" s="703" t="str">
        <f t="shared" si="239"/>
        <v>N</v>
      </c>
      <c r="AB197" s="703" t="str">
        <f t="shared" si="240"/>
        <v>N</v>
      </c>
      <c r="AC197" s="703" t="str">
        <f t="shared" si="241"/>
        <v>N</v>
      </c>
      <c r="AD197" s="804"/>
      <c r="AE197" s="804"/>
      <c r="AF197" s="791"/>
      <c r="AG197" s="798"/>
      <c r="AH197" s="928"/>
      <c r="AI197" s="732"/>
      <c r="AJ197" s="733"/>
    </row>
    <row r="198" spans="1:52" hidden="1" outlineLevel="1" x14ac:dyDescent="0.25">
      <c r="A198" s="159"/>
      <c r="B198" s="1359"/>
      <c r="C198" s="667" t="str">
        <f>'Optimalizačné opatrenia'!$B$4</f>
        <v>Zjednotenie</v>
      </c>
      <c r="D198" s="718" t="s">
        <v>530</v>
      </c>
      <c r="E198" s="703" t="s">
        <v>530</v>
      </c>
      <c r="F198" s="703" t="s">
        <v>530</v>
      </c>
      <c r="G198" s="703" t="str">
        <f t="shared" si="226"/>
        <v>A</v>
      </c>
      <c r="H198" s="703"/>
      <c r="I198" s="703"/>
      <c r="J198" s="703"/>
      <c r="K198" s="703"/>
      <c r="L198" s="703" t="str">
        <f t="shared" si="227"/>
        <v>A</v>
      </c>
      <c r="M198" s="703" t="str">
        <f t="shared" si="228"/>
        <v>A</v>
      </c>
      <c r="N198" s="703" t="s">
        <v>530</v>
      </c>
      <c r="O198" s="703"/>
      <c r="P198" s="703" t="str">
        <f t="shared" si="229"/>
        <v>A</v>
      </c>
      <c r="Q198" s="703" t="str">
        <f t="shared" si="230"/>
        <v>A</v>
      </c>
      <c r="R198" s="703" t="str">
        <f t="shared" si="231"/>
        <v>A</v>
      </c>
      <c r="S198" s="703" t="str">
        <f t="shared" si="232"/>
        <v>A</v>
      </c>
      <c r="T198" s="703" t="str">
        <f t="shared" si="233"/>
        <v>A</v>
      </c>
      <c r="U198" s="703" t="str">
        <f t="shared" si="234"/>
        <v>A</v>
      </c>
      <c r="V198" s="703" t="str">
        <f t="shared" si="235"/>
        <v>A</v>
      </c>
      <c r="W198" s="703" t="str">
        <f t="shared" si="235"/>
        <v>A</v>
      </c>
      <c r="X198" s="703" t="str">
        <f t="shared" si="236"/>
        <v>A</v>
      </c>
      <c r="Y198" s="703" t="str">
        <f t="shared" si="237"/>
        <v>A</v>
      </c>
      <c r="Z198" s="703" t="str">
        <f t="shared" si="238"/>
        <v>A</v>
      </c>
      <c r="AA198" s="703" t="str">
        <f t="shared" si="239"/>
        <v>A</v>
      </c>
      <c r="AB198" s="703" t="str">
        <f t="shared" si="240"/>
        <v>A</v>
      </c>
      <c r="AC198" s="703" t="str">
        <f t="shared" si="241"/>
        <v>A</v>
      </c>
      <c r="AD198" s="804"/>
      <c r="AE198" s="804"/>
      <c r="AF198" s="791"/>
      <c r="AG198" s="798"/>
      <c r="AH198" s="928"/>
      <c r="AI198" s="732"/>
      <c r="AJ198" s="733"/>
    </row>
    <row r="199" spans="1:52" hidden="1" outlineLevel="1" x14ac:dyDescent="0.25">
      <c r="A199" s="159"/>
      <c r="B199" s="1359"/>
      <c r="C199" s="667" t="str">
        <f>'Optimalizačné opatrenia'!$B$5</f>
        <v>Centralizácia</v>
      </c>
      <c r="D199" s="718" t="s">
        <v>530</v>
      </c>
      <c r="E199" s="703" t="s">
        <v>530</v>
      </c>
      <c r="F199" s="703" t="s">
        <v>530</v>
      </c>
      <c r="G199" s="703" t="str">
        <f t="shared" si="226"/>
        <v>A</v>
      </c>
      <c r="H199" s="703"/>
      <c r="I199" s="703"/>
      <c r="J199" s="703"/>
      <c r="K199" s="703"/>
      <c r="L199" s="703" t="str">
        <f t="shared" si="227"/>
        <v>A</v>
      </c>
      <c r="M199" s="703" t="str">
        <f t="shared" si="228"/>
        <v>A</v>
      </c>
      <c r="N199" s="703" t="s">
        <v>530</v>
      </c>
      <c r="O199" s="703"/>
      <c r="P199" s="703" t="str">
        <f t="shared" si="229"/>
        <v>A</v>
      </c>
      <c r="Q199" s="703" t="str">
        <f t="shared" si="230"/>
        <v>A</v>
      </c>
      <c r="R199" s="703" t="str">
        <f t="shared" si="231"/>
        <v>A</v>
      </c>
      <c r="S199" s="703" t="str">
        <f t="shared" si="232"/>
        <v>A</v>
      </c>
      <c r="T199" s="703" t="str">
        <f t="shared" si="233"/>
        <v>A</v>
      </c>
      <c r="U199" s="703" t="str">
        <f t="shared" si="234"/>
        <v>A</v>
      </c>
      <c r="V199" s="703" t="str">
        <f t="shared" si="235"/>
        <v>A</v>
      </c>
      <c r="W199" s="703" t="str">
        <f t="shared" si="235"/>
        <v>A</v>
      </c>
      <c r="X199" s="703" t="str">
        <f t="shared" si="236"/>
        <v>A</v>
      </c>
      <c r="Y199" s="703" t="str">
        <f t="shared" si="237"/>
        <v>A</v>
      </c>
      <c r="Z199" s="703" t="str">
        <f t="shared" si="238"/>
        <v>A</v>
      </c>
      <c r="AA199" s="703" t="str">
        <f t="shared" si="239"/>
        <v>A</v>
      </c>
      <c r="AB199" s="703" t="str">
        <f t="shared" si="240"/>
        <v>A</v>
      </c>
      <c r="AC199" s="703" t="str">
        <f t="shared" si="241"/>
        <v>A</v>
      </c>
      <c r="AD199" s="804"/>
      <c r="AE199" s="804"/>
      <c r="AF199" s="791"/>
      <c r="AG199" s="798"/>
      <c r="AH199" s="928"/>
      <c r="AI199" s="732"/>
      <c r="AJ199" s="733"/>
    </row>
    <row r="200" spans="1:52" hidden="1" outlineLevel="1" x14ac:dyDescent="0.25">
      <c r="A200" s="159"/>
      <c r="B200" s="1359"/>
      <c r="C200" s="667" t="str">
        <f>'Optimalizačné opatrenia'!$B$6</f>
        <v>Elektronizácia</v>
      </c>
      <c r="D200" s="718" t="s">
        <v>530</v>
      </c>
      <c r="E200" s="703" t="s">
        <v>530</v>
      </c>
      <c r="F200" s="703" t="s">
        <v>530</v>
      </c>
      <c r="G200" s="703" t="str">
        <f t="shared" si="226"/>
        <v>A</v>
      </c>
      <c r="H200" s="703"/>
      <c r="I200" s="703"/>
      <c r="J200" s="703"/>
      <c r="K200" s="703"/>
      <c r="L200" s="703" t="str">
        <f t="shared" si="227"/>
        <v>A</v>
      </c>
      <c r="M200" s="703" t="str">
        <f t="shared" si="228"/>
        <v>A</v>
      </c>
      <c r="N200" s="703" t="s">
        <v>530</v>
      </c>
      <c r="O200" s="703"/>
      <c r="P200" s="703" t="str">
        <f t="shared" si="229"/>
        <v>A</v>
      </c>
      <c r="Q200" s="703" t="str">
        <f t="shared" si="230"/>
        <v>A</v>
      </c>
      <c r="R200" s="703" t="str">
        <f t="shared" si="231"/>
        <v>A</v>
      </c>
      <c r="S200" s="703" t="str">
        <f t="shared" si="232"/>
        <v>A</v>
      </c>
      <c r="T200" s="703" t="str">
        <f t="shared" si="233"/>
        <v>A</v>
      </c>
      <c r="U200" s="703" t="str">
        <f t="shared" si="234"/>
        <v>A</v>
      </c>
      <c r="V200" s="703" t="str">
        <f t="shared" si="235"/>
        <v>A</v>
      </c>
      <c r="W200" s="703" t="str">
        <f t="shared" si="235"/>
        <v>A</v>
      </c>
      <c r="X200" s="703" t="str">
        <f t="shared" si="236"/>
        <v>A</v>
      </c>
      <c r="Y200" s="703" t="str">
        <f t="shared" si="237"/>
        <v>A</v>
      </c>
      <c r="Z200" s="703" t="str">
        <f t="shared" si="238"/>
        <v>A</v>
      </c>
      <c r="AA200" s="703" t="str">
        <f t="shared" si="239"/>
        <v>A</v>
      </c>
      <c r="AB200" s="703" t="str">
        <f t="shared" si="240"/>
        <v>A</v>
      </c>
      <c r="AC200" s="703" t="str">
        <f t="shared" si="241"/>
        <v>A</v>
      </c>
      <c r="AD200" s="804"/>
      <c r="AE200" s="804"/>
      <c r="AF200" s="791"/>
      <c r="AG200" s="798"/>
      <c r="AH200" s="928"/>
      <c r="AI200" s="732"/>
      <c r="AJ200" s="733"/>
    </row>
    <row r="201" spans="1:52" hidden="1" outlineLevel="1" x14ac:dyDescent="0.25">
      <c r="A201" s="159"/>
      <c r="B201" s="1359"/>
      <c r="C201" s="667" t="str">
        <f>'Optimalizačné opatrenia'!$B$7</f>
        <v>Automatizácia</v>
      </c>
      <c r="D201" s="718" t="s">
        <v>530</v>
      </c>
      <c r="E201" s="703" t="s">
        <v>530</v>
      </c>
      <c r="F201" s="703" t="s">
        <v>530</v>
      </c>
      <c r="G201" s="703" t="str">
        <f t="shared" si="226"/>
        <v>A</v>
      </c>
      <c r="H201" s="703"/>
      <c r="I201" s="703"/>
      <c r="J201" s="703"/>
      <c r="K201" s="703"/>
      <c r="L201" s="703" t="str">
        <f t="shared" si="227"/>
        <v>A</v>
      </c>
      <c r="M201" s="703" t="str">
        <f t="shared" si="228"/>
        <v>A</v>
      </c>
      <c r="N201" s="703" t="s">
        <v>530</v>
      </c>
      <c r="O201" s="703"/>
      <c r="P201" s="703" t="str">
        <f t="shared" si="229"/>
        <v>A</v>
      </c>
      <c r="Q201" s="703" t="str">
        <f t="shared" si="230"/>
        <v>A</v>
      </c>
      <c r="R201" s="703" t="str">
        <f t="shared" si="231"/>
        <v>A</v>
      </c>
      <c r="S201" s="703" t="str">
        <f t="shared" si="232"/>
        <v>A</v>
      </c>
      <c r="T201" s="703" t="str">
        <f t="shared" si="233"/>
        <v>A</v>
      </c>
      <c r="U201" s="703" t="str">
        <f t="shared" si="234"/>
        <v>A</v>
      </c>
      <c r="V201" s="703" t="str">
        <f t="shared" si="235"/>
        <v>A</v>
      </c>
      <c r="W201" s="703" t="str">
        <f t="shared" si="235"/>
        <v>A</v>
      </c>
      <c r="X201" s="703" t="str">
        <f t="shared" si="236"/>
        <v>A</v>
      </c>
      <c r="Y201" s="703" t="str">
        <f t="shared" si="237"/>
        <v>A</v>
      </c>
      <c r="Z201" s="703" t="str">
        <f t="shared" si="238"/>
        <v>A</v>
      </c>
      <c r="AA201" s="703" t="str">
        <f t="shared" si="239"/>
        <v>A</v>
      </c>
      <c r="AB201" s="703" t="str">
        <f t="shared" si="240"/>
        <v>A</v>
      </c>
      <c r="AC201" s="703" t="str">
        <f t="shared" si="241"/>
        <v>A</v>
      </c>
      <c r="AD201" s="804"/>
      <c r="AE201" s="804"/>
      <c r="AF201" s="791"/>
      <c r="AG201" s="798"/>
      <c r="AH201" s="928"/>
      <c r="AI201" s="732"/>
      <c r="AJ201" s="733"/>
    </row>
    <row r="202" spans="1:52" hidden="1" outlineLevel="1" x14ac:dyDescent="0.25">
      <c r="A202" s="159"/>
      <c r="B202" s="1359"/>
      <c r="C202" s="667" t="str">
        <f>'Optimalizačné opatrenia'!$B$8</f>
        <v>Bezpečnosť</v>
      </c>
      <c r="D202" s="718" t="s">
        <v>530</v>
      </c>
      <c r="E202" s="703" t="s">
        <v>530</v>
      </c>
      <c r="F202" s="703" t="s">
        <v>530</v>
      </c>
      <c r="G202" s="703" t="str">
        <f t="shared" si="226"/>
        <v>A</v>
      </c>
      <c r="H202" s="703"/>
      <c r="I202" s="703"/>
      <c r="J202" s="703"/>
      <c r="K202" s="703"/>
      <c r="L202" s="703" t="str">
        <f t="shared" si="227"/>
        <v>A</v>
      </c>
      <c r="M202" s="703" t="str">
        <f t="shared" si="228"/>
        <v>A</v>
      </c>
      <c r="N202" s="703" t="s">
        <v>530</v>
      </c>
      <c r="O202" s="703"/>
      <c r="P202" s="703" t="str">
        <f t="shared" si="229"/>
        <v>A</v>
      </c>
      <c r="Q202" s="703" t="str">
        <f t="shared" si="230"/>
        <v>A</v>
      </c>
      <c r="R202" s="703" t="str">
        <f t="shared" si="231"/>
        <v>A</v>
      </c>
      <c r="S202" s="703" t="str">
        <f t="shared" si="232"/>
        <v>A</v>
      </c>
      <c r="T202" s="703" t="str">
        <f t="shared" si="233"/>
        <v>A</v>
      </c>
      <c r="U202" s="703" t="str">
        <f t="shared" si="234"/>
        <v>A</v>
      </c>
      <c r="V202" s="703" t="str">
        <f t="shared" si="235"/>
        <v>A</v>
      </c>
      <c r="W202" s="703" t="str">
        <f t="shared" si="235"/>
        <v>A</v>
      </c>
      <c r="X202" s="703" t="str">
        <f t="shared" si="236"/>
        <v>A</v>
      </c>
      <c r="Y202" s="703" t="str">
        <f t="shared" si="237"/>
        <v>A</v>
      </c>
      <c r="Z202" s="703" t="str">
        <f t="shared" si="238"/>
        <v>A</v>
      </c>
      <c r="AA202" s="703" t="str">
        <f t="shared" si="239"/>
        <v>A</v>
      </c>
      <c r="AB202" s="703" t="str">
        <f t="shared" si="240"/>
        <v>A</v>
      </c>
      <c r="AC202" s="703" t="str">
        <f t="shared" si="241"/>
        <v>A</v>
      </c>
      <c r="AD202" s="804"/>
      <c r="AE202" s="804"/>
      <c r="AF202" s="791"/>
      <c r="AG202" s="798"/>
      <c r="AH202" s="928"/>
      <c r="AI202" s="732"/>
      <c r="AJ202" s="733"/>
    </row>
    <row r="203" spans="1:52" hidden="1" outlineLevel="1" x14ac:dyDescent="0.25">
      <c r="A203" s="159"/>
      <c r="B203" s="1359"/>
      <c r="C203" s="667" t="str">
        <f>'Optimalizačné opatrenia'!$B$9</f>
        <v>Auditovateľnosť</v>
      </c>
      <c r="D203" s="718" t="s">
        <v>530</v>
      </c>
      <c r="E203" s="703" t="s">
        <v>530</v>
      </c>
      <c r="F203" s="703" t="s">
        <v>530</v>
      </c>
      <c r="G203" s="703" t="str">
        <f t="shared" si="226"/>
        <v>A</v>
      </c>
      <c r="H203" s="703"/>
      <c r="I203" s="703"/>
      <c r="J203" s="703"/>
      <c r="K203" s="703"/>
      <c r="L203" s="703" t="str">
        <f t="shared" si="227"/>
        <v>A</v>
      </c>
      <c r="M203" s="703" t="str">
        <f t="shared" si="228"/>
        <v>A</v>
      </c>
      <c r="N203" s="703" t="s">
        <v>530</v>
      </c>
      <c r="O203" s="703"/>
      <c r="P203" s="703" t="str">
        <f t="shared" si="229"/>
        <v>A</v>
      </c>
      <c r="Q203" s="703" t="str">
        <f t="shared" si="230"/>
        <v>A</v>
      </c>
      <c r="R203" s="703" t="str">
        <f t="shared" si="231"/>
        <v>N</v>
      </c>
      <c r="S203" s="703" t="str">
        <f t="shared" si="232"/>
        <v>N</v>
      </c>
      <c r="T203" s="703" t="str">
        <f t="shared" si="233"/>
        <v>N</v>
      </c>
      <c r="U203" s="703" t="str">
        <f t="shared" si="234"/>
        <v>A</v>
      </c>
      <c r="V203" s="703" t="str">
        <f t="shared" si="235"/>
        <v>A</v>
      </c>
      <c r="W203" s="703" t="str">
        <f t="shared" si="235"/>
        <v>A</v>
      </c>
      <c r="X203" s="703" t="str">
        <f t="shared" si="236"/>
        <v>A</v>
      </c>
      <c r="Y203" s="703" t="str">
        <f t="shared" si="237"/>
        <v>N</v>
      </c>
      <c r="Z203" s="703" t="str">
        <f t="shared" si="238"/>
        <v>N</v>
      </c>
      <c r="AA203" s="703" t="str">
        <f t="shared" si="239"/>
        <v>A</v>
      </c>
      <c r="AB203" s="703" t="str">
        <f t="shared" si="240"/>
        <v>A</v>
      </c>
      <c r="AC203" s="703" t="str">
        <f t="shared" si="241"/>
        <v>N</v>
      </c>
      <c r="AD203" s="804"/>
      <c r="AE203" s="804"/>
      <c r="AF203" s="791"/>
      <c r="AG203" s="798"/>
      <c r="AH203" s="928"/>
      <c r="AI203" s="732"/>
      <c r="AJ203" s="733"/>
    </row>
    <row r="204" spans="1:52" hidden="1" outlineLevel="1" x14ac:dyDescent="0.25">
      <c r="A204" s="159"/>
      <c r="B204" s="1359"/>
      <c r="C204" s="667" t="str">
        <f>'Optimalizačné opatrenia'!$B$10</f>
        <v>Transparentnosť</v>
      </c>
      <c r="D204" s="718" t="s">
        <v>530</v>
      </c>
      <c r="E204" s="703" t="s">
        <v>530</v>
      </c>
      <c r="F204" s="703" t="s">
        <v>530</v>
      </c>
      <c r="G204" s="703" t="str">
        <f t="shared" si="226"/>
        <v>N</v>
      </c>
      <c r="H204" s="703"/>
      <c r="I204" s="703"/>
      <c r="J204" s="703"/>
      <c r="K204" s="703"/>
      <c r="L204" s="703" t="str">
        <f t="shared" si="227"/>
        <v>N</v>
      </c>
      <c r="M204" s="703" t="str">
        <f t="shared" si="228"/>
        <v>N</v>
      </c>
      <c r="N204" s="703" t="s">
        <v>530</v>
      </c>
      <c r="O204" s="703"/>
      <c r="P204" s="703" t="str">
        <f t="shared" si="229"/>
        <v>A</v>
      </c>
      <c r="Q204" s="703" t="str">
        <f t="shared" si="230"/>
        <v>N</v>
      </c>
      <c r="R204" s="703" t="str">
        <f t="shared" si="231"/>
        <v>N</v>
      </c>
      <c r="S204" s="703" t="str">
        <f t="shared" si="232"/>
        <v>N</v>
      </c>
      <c r="T204" s="703" t="str">
        <f t="shared" si="233"/>
        <v>N</v>
      </c>
      <c r="U204" s="703" t="str">
        <f t="shared" si="234"/>
        <v>N</v>
      </c>
      <c r="V204" s="703" t="str">
        <f t="shared" si="235"/>
        <v>A</v>
      </c>
      <c r="W204" s="703" t="str">
        <f t="shared" si="235"/>
        <v>N</v>
      </c>
      <c r="X204" s="703" t="str">
        <f t="shared" si="236"/>
        <v>N</v>
      </c>
      <c r="Y204" s="703" t="str">
        <f t="shared" si="237"/>
        <v>N</v>
      </c>
      <c r="Z204" s="703" t="str">
        <f t="shared" si="238"/>
        <v>N</v>
      </c>
      <c r="AA204" s="703" t="str">
        <f t="shared" si="239"/>
        <v>A</v>
      </c>
      <c r="AB204" s="703" t="str">
        <f t="shared" si="240"/>
        <v>N</v>
      </c>
      <c r="AC204" s="703" t="str">
        <f t="shared" si="241"/>
        <v>N</v>
      </c>
      <c r="AD204" s="804"/>
      <c r="AE204" s="804"/>
      <c r="AF204" s="791"/>
      <c r="AG204" s="798"/>
      <c r="AH204" s="928"/>
      <c r="AI204" s="732"/>
      <c r="AJ204" s="733"/>
    </row>
    <row r="205" spans="1:52" hidden="1" outlineLevel="1" x14ac:dyDescent="0.25">
      <c r="A205" s="159"/>
      <c r="B205" s="1359"/>
      <c r="C205" s="667" t="str">
        <f>'Optimalizačné opatrenia'!$B$11</f>
        <v>Analyzovatelnosť</v>
      </c>
      <c r="D205" s="718" t="s">
        <v>530</v>
      </c>
      <c r="E205" s="703" t="s">
        <v>530</v>
      </c>
      <c r="F205" s="703" t="s">
        <v>530</v>
      </c>
      <c r="G205" s="703" t="str">
        <f t="shared" si="226"/>
        <v>A</v>
      </c>
      <c r="H205" s="703"/>
      <c r="I205" s="703"/>
      <c r="J205" s="703"/>
      <c r="K205" s="703"/>
      <c r="L205" s="703" t="str">
        <f t="shared" si="227"/>
        <v>A</v>
      </c>
      <c r="M205" s="703" t="str">
        <f t="shared" si="228"/>
        <v>A</v>
      </c>
      <c r="N205" s="703" t="s">
        <v>530</v>
      </c>
      <c r="O205" s="703"/>
      <c r="P205" s="703" t="str">
        <f t="shared" si="229"/>
        <v>A</v>
      </c>
      <c r="Q205" s="703" t="str">
        <f t="shared" si="230"/>
        <v>A</v>
      </c>
      <c r="R205" s="703" t="str">
        <f t="shared" si="231"/>
        <v>N</v>
      </c>
      <c r="S205" s="703" t="str">
        <f t="shared" si="232"/>
        <v>N</v>
      </c>
      <c r="T205" s="703" t="str">
        <f t="shared" si="233"/>
        <v>N</v>
      </c>
      <c r="U205" s="703" t="str">
        <f t="shared" si="234"/>
        <v>A</v>
      </c>
      <c r="V205" s="703" t="str">
        <f t="shared" si="235"/>
        <v>A</v>
      </c>
      <c r="W205" s="703" t="str">
        <f t="shared" si="235"/>
        <v>A</v>
      </c>
      <c r="X205" s="703" t="str">
        <f t="shared" si="236"/>
        <v>A</v>
      </c>
      <c r="Y205" s="703" t="str">
        <f t="shared" si="237"/>
        <v>N</v>
      </c>
      <c r="Z205" s="703" t="str">
        <f t="shared" si="238"/>
        <v>N</v>
      </c>
      <c r="AA205" s="703" t="str">
        <f t="shared" si="239"/>
        <v>A</v>
      </c>
      <c r="AB205" s="703" t="str">
        <f t="shared" si="240"/>
        <v>A</v>
      </c>
      <c r="AC205" s="703" t="str">
        <f t="shared" si="241"/>
        <v>N</v>
      </c>
      <c r="AD205" s="804"/>
      <c r="AE205" s="804"/>
      <c r="AF205" s="791"/>
      <c r="AG205" s="798"/>
      <c r="AH205" s="928"/>
      <c r="AI205" s="732"/>
      <c r="AJ205" s="733"/>
    </row>
    <row r="206" spans="1:52" hidden="1" outlineLevel="1" x14ac:dyDescent="0.25">
      <c r="A206" s="159"/>
      <c r="B206" s="1359"/>
      <c r="C206" s="667" t="str">
        <f>'Optimalizačné opatrenia'!$B$12</f>
        <v>Integrácia</v>
      </c>
      <c r="D206" s="718" t="s">
        <v>530</v>
      </c>
      <c r="E206" s="703" t="s">
        <v>530</v>
      </c>
      <c r="F206" s="703" t="s">
        <v>530</v>
      </c>
      <c r="G206" s="703" t="str">
        <f t="shared" si="226"/>
        <v>A</v>
      </c>
      <c r="H206" s="703"/>
      <c r="I206" s="703"/>
      <c r="J206" s="703"/>
      <c r="K206" s="703"/>
      <c r="L206" s="703" t="str">
        <f t="shared" si="227"/>
        <v>A</v>
      </c>
      <c r="M206" s="703" t="str">
        <f t="shared" si="228"/>
        <v>A</v>
      </c>
      <c r="N206" s="703" t="s">
        <v>530</v>
      </c>
      <c r="O206" s="703"/>
      <c r="P206" s="703" t="str">
        <f t="shared" si="229"/>
        <v>A</v>
      </c>
      <c r="Q206" s="703" t="str">
        <f t="shared" si="230"/>
        <v>A</v>
      </c>
      <c r="R206" s="703" t="str">
        <f t="shared" si="231"/>
        <v>A</v>
      </c>
      <c r="S206" s="703" t="str">
        <f t="shared" si="232"/>
        <v>A</v>
      </c>
      <c r="T206" s="703" t="str">
        <f t="shared" si="233"/>
        <v>A</v>
      </c>
      <c r="U206" s="703" t="str">
        <f t="shared" si="234"/>
        <v>A</v>
      </c>
      <c r="V206" s="703" t="str">
        <f t="shared" si="235"/>
        <v>A</v>
      </c>
      <c r="W206" s="703" t="str">
        <f t="shared" si="235"/>
        <v>A</v>
      </c>
      <c r="X206" s="703" t="str">
        <f t="shared" si="236"/>
        <v>A</v>
      </c>
      <c r="Y206" s="703" t="str">
        <f t="shared" si="237"/>
        <v>A</v>
      </c>
      <c r="Z206" s="703" t="str">
        <f t="shared" si="238"/>
        <v>A</v>
      </c>
      <c r="AA206" s="703" t="str">
        <f t="shared" si="239"/>
        <v>A</v>
      </c>
      <c r="AB206" s="703" t="str">
        <f t="shared" si="240"/>
        <v>A</v>
      </c>
      <c r="AC206" s="703" t="str">
        <f t="shared" si="241"/>
        <v>A</v>
      </c>
      <c r="AD206" s="804"/>
      <c r="AE206" s="804"/>
      <c r="AF206" s="791"/>
      <c r="AG206" s="798"/>
      <c r="AH206" s="928"/>
      <c r="AI206" s="732"/>
      <c r="AJ206" s="733"/>
    </row>
    <row r="207" spans="1:52" hidden="1" outlineLevel="1" x14ac:dyDescent="0.25">
      <c r="A207" s="159"/>
      <c r="B207" s="1359"/>
      <c r="C207" s="672" t="str">
        <f>'Optimalizačné opatrenia'!$B$13</f>
        <v>Proaktivita</v>
      </c>
      <c r="D207" s="718" t="s">
        <v>530</v>
      </c>
      <c r="E207" s="703" t="s">
        <v>530</v>
      </c>
      <c r="F207" s="703" t="s">
        <v>530</v>
      </c>
      <c r="G207" s="703" t="str">
        <f t="shared" si="226"/>
        <v>N</v>
      </c>
      <c r="H207" s="703"/>
      <c r="I207" s="703"/>
      <c r="J207" s="703"/>
      <c r="K207" s="703"/>
      <c r="L207" s="703" t="str">
        <f t="shared" si="227"/>
        <v>A</v>
      </c>
      <c r="M207" s="703" t="str">
        <f t="shared" si="228"/>
        <v>N</v>
      </c>
      <c r="N207" s="703" t="s">
        <v>530</v>
      </c>
      <c r="O207" s="703"/>
      <c r="P207" s="703" t="str">
        <f t="shared" si="229"/>
        <v>N</v>
      </c>
      <c r="Q207" s="703" t="str">
        <f t="shared" si="230"/>
        <v>N</v>
      </c>
      <c r="R207" s="703" t="str">
        <f t="shared" si="231"/>
        <v>A</v>
      </c>
      <c r="S207" s="703" t="str">
        <f t="shared" si="232"/>
        <v>A</v>
      </c>
      <c r="T207" s="703" t="str">
        <f t="shared" si="233"/>
        <v>A</v>
      </c>
      <c r="U207" s="703" t="str">
        <f t="shared" si="234"/>
        <v>N</v>
      </c>
      <c r="V207" s="703" t="str">
        <f t="shared" si="235"/>
        <v>A</v>
      </c>
      <c r="W207" s="703" t="str">
        <f t="shared" si="235"/>
        <v>N</v>
      </c>
      <c r="X207" s="703" t="str">
        <f t="shared" si="236"/>
        <v>N</v>
      </c>
      <c r="Y207" s="703" t="str">
        <f t="shared" si="237"/>
        <v>A</v>
      </c>
      <c r="Z207" s="703" t="str">
        <f t="shared" si="238"/>
        <v>A</v>
      </c>
      <c r="AA207" s="703" t="str">
        <f t="shared" si="239"/>
        <v>A</v>
      </c>
      <c r="AB207" s="703" t="str">
        <f t="shared" si="240"/>
        <v>N</v>
      </c>
      <c r="AC207" s="703" t="str">
        <f t="shared" si="241"/>
        <v>A</v>
      </c>
      <c r="AD207" s="804"/>
      <c r="AE207" s="804"/>
      <c r="AF207" s="791"/>
      <c r="AG207" s="798"/>
      <c r="AH207" s="928"/>
      <c r="AI207" s="732"/>
      <c r="AJ207" s="733"/>
    </row>
    <row r="208" spans="1:52" hidden="1" outlineLevel="1" x14ac:dyDescent="0.25">
      <c r="A208" s="159"/>
      <c r="B208" s="720"/>
      <c r="C208" s="722" t="s">
        <v>538</v>
      </c>
      <c r="D208" s="723">
        <v>0</v>
      </c>
      <c r="E208" s="721">
        <v>0</v>
      </c>
      <c r="F208" s="724">
        <v>0</v>
      </c>
      <c r="G208" s="724">
        <f t="shared" si="226"/>
        <v>0.3</v>
      </c>
      <c r="H208" s="724"/>
      <c r="I208" s="724"/>
      <c r="J208" s="724"/>
      <c r="K208" s="724"/>
      <c r="L208" s="724">
        <f t="shared" si="227"/>
        <v>0.4</v>
      </c>
      <c r="M208" s="724">
        <f t="shared" si="228"/>
        <v>0.3</v>
      </c>
      <c r="N208" s="724">
        <v>0</v>
      </c>
      <c r="O208" s="724"/>
      <c r="P208" s="724">
        <f t="shared" si="229"/>
        <v>0.45</v>
      </c>
      <c r="Q208" s="724">
        <f t="shared" si="230"/>
        <v>0.3</v>
      </c>
      <c r="R208" s="724">
        <f t="shared" si="231"/>
        <v>0.25</v>
      </c>
      <c r="S208" s="724">
        <f t="shared" si="232"/>
        <v>0.25</v>
      </c>
      <c r="T208" s="724">
        <f t="shared" si="233"/>
        <v>0.25</v>
      </c>
      <c r="U208" s="724">
        <f t="shared" si="234"/>
        <v>0.3</v>
      </c>
      <c r="V208" s="724">
        <f t="shared" si="235"/>
        <v>0.5</v>
      </c>
      <c r="W208" s="724">
        <f t="shared" si="235"/>
        <v>0.3</v>
      </c>
      <c r="X208" s="724">
        <f t="shared" si="236"/>
        <v>0.3</v>
      </c>
      <c r="Y208" s="724">
        <f t="shared" si="237"/>
        <v>0.25</v>
      </c>
      <c r="Z208" s="724">
        <f t="shared" si="238"/>
        <v>0.25</v>
      </c>
      <c r="AA208" s="724">
        <f t="shared" si="239"/>
        <v>0.5</v>
      </c>
      <c r="AB208" s="724">
        <f t="shared" si="240"/>
        <v>0.3</v>
      </c>
      <c r="AC208" s="724">
        <f t="shared" si="241"/>
        <v>0.25</v>
      </c>
      <c r="AD208" s="805"/>
      <c r="AE208" s="805"/>
      <c r="AF208" s="792"/>
      <c r="AG208" s="799"/>
      <c r="AH208" s="929"/>
      <c r="AI208" s="735"/>
      <c r="AJ208" s="736"/>
    </row>
    <row r="209" spans="1:52" ht="58.7" customHeight="1" collapsed="1" x14ac:dyDescent="0.25">
      <c r="A209" s="159">
        <f ca="1">OFFSET(A209,-14,0)+1</f>
        <v>15</v>
      </c>
      <c r="B209" s="234" t="str">
        <f ca="1">'Procesy - AS IS'!B53</f>
        <v>Meranie č. 15</v>
      </c>
      <c r="C209" s="650" t="str">
        <f>'Procesy - AS IS'!C53</f>
        <v>CARS Prešov, s.r.o., Prešov, prevádzka Strojnícka 19, Prešov, Kontrola pôvodcov a držiteľov odpadov, 8404/2017</v>
      </c>
      <c r="D209" s="726">
        <f>-'Procesy - AS IS'!D55*D222</f>
        <v>0</v>
      </c>
      <c r="E209" s="653">
        <f>-'Procesy - AS IS'!E55*E222</f>
        <v>0</v>
      </c>
      <c r="F209" s="653">
        <f>-'Procesy - AS IS'!F55*F222</f>
        <v>0</v>
      </c>
      <c r="G209" s="653">
        <f>-'Procesy - AS IS'!G55*G222</f>
        <v>-0.89999999999999991</v>
      </c>
      <c r="H209" s="653" t="s">
        <v>555</v>
      </c>
      <c r="I209" s="653" t="s">
        <v>555</v>
      </c>
      <c r="J209" s="653" t="s">
        <v>555</v>
      </c>
      <c r="K209" s="653" t="s">
        <v>555</v>
      </c>
      <c r="L209" s="653">
        <f>-'Procesy - AS IS'!L55*L222</f>
        <v>0</v>
      </c>
      <c r="M209" s="653">
        <f>-'Procesy - AS IS'!M55*M222</f>
        <v>-0.22499999999999998</v>
      </c>
      <c r="N209" s="653">
        <f>-'Procesy - AS IS'!N55*N222</f>
        <v>0</v>
      </c>
      <c r="O209" s="653" t="s">
        <v>559</v>
      </c>
      <c r="P209" s="653">
        <f>-'Procesy - AS IS'!P55*P222</f>
        <v>-0.9</v>
      </c>
      <c r="Q209" s="653">
        <f>-'Procesy - AS IS'!Q55*Q222</f>
        <v>0</v>
      </c>
      <c r="R209" s="653">
        <f>-'Procesy - AS IS'!R55*R222</f>
        <v>-1.241851079112084</v>
      </c>
      <c r="S209" s="653">
        <f>-'Procesy - AS IS'!S55*S222</f>
        <v>-2.758148920887916</v>
      </c>
      <c r="T209" s="653">
        <f>-'Procesy - AS IS'!T55*T222</f>
        <v>-1.241851079112084</v>
      </c>
      <c r="U209" s="653">
        <f>-'Procesy - AS IS'!U55*U222</f>
        <v>-0.20686116906659369</v>
      </c>
      <c r="V209" s="653">
        <f>-'Procesy - AS IS'!V55*V222</f>
        <v>-0.25</v>
      </c>
      <c r="W209" s="653">
        <f>-'Procesy - AS IS'!W55*W222</f>
        <v>-8.5207100591715976E-2</v>
      </c>
      <c r="X209" s="653">
        <f>-'Procesy - AS IS'!X55*X222</f>
        <v>0</v>
      </c>
      <c r="Y209" s="653">
        <f>-'Procesy - AS IS'!Y55*Y222</f>
        <v>-0.75739644970414199</v>
      </c>
      <c r="Z209" s="653">
        <f>-'Procesy - AS IS'!Z55*Z222</f>
        <v>-3.6982248520710057E-3</v>
      </c>
      <c r="AA209" s="653">
        <f>-'Procesy - AS IS'!AA55*AA222</f>
        <v>-1.4792899408284023E-2</v>
      </c>
      <c r="AB209" s="653">
        <f>-'Procesy - AS IS'!AB55*AB222</f>
        <v>-0.1420118343195266</v>
      </c>
      <c r="AC209" s="653">
        <f>-'Procesy - AS IS'!AC55*AC222</f>
        <v>-0.29585798816568043</v>
      </c>
      <c r="AD209" s="754"/>
      <c r="AE209" s="754">
        <f>SUM(D209:AC209)</f>
        <v>-9.0226767452200995</v>
      </c>
      <c r="AF209" s="728">
        <f>AE209/'Procesy - AS IS'!AD55</f>
        <v>-0.27406444092421794</v>
      </c>
      <c r="AG209" s="797">
        <f>('Procesy - AS IS'!AG52/(1+$AF209)-'Procesy - AS IS'!AG52)/2</f>
        <v>31.901516558274622</v>
      </c>
      <c r="AH209" s="927">
        <f>('Procesy - AS IS'!AH52/(1+$AF209)-'Procesy - AS IS'!AH52)/2</f>
        <v>9.9042331908013423</v>
      </c>
      <c r="AI209" s="730">
        <f>('Procesy - AS IS'!AI52/(1+$AF209)-'Procesy - AS IS'!AI52)/2</f>
        <v>6.0405238453537748</v>
      </c>
      <c r="AJ209" s="731">
        <f>('Procesy - AS IS'!AJ52/(1+$AF209)-'Procesy - AS IS'!AJ52)/2</f>
        <v>0.94383185083652732</v>
      </c>
      <c r="AL209" s="232"/>
      <c r="AZ209" s="227"/>
    </row>
    <row r="210" spans="1:52" hidden="1" outlineLevel="1" x14ac:dyDescent="0.25">
      <c r="A210" s="159"/>
      <c r="B210" s="1358" t="s">
        <v>528</v>
      </c>
      <c r="C210" s="667" t="str">
        <f>'Optimalizačné opatrenia'!$B$2</f>
        <v>Modernizácia</v>
      </c>
      <c r="D210" s="673" t="s">
        <v>530</v>
      </c>
      <c r="E210" s="674" t="s">
        <v>530</v>
      </c>
      <c r="F210" s="703" t="s">
        <v>530</v>
      </c>
      <c r="G210" s="703" t="str">
        <f t="shared" ref="G210:G222" si="242">G196</f>
        <v>A</v>
      </c>
      <c r="H210" s="703"/>
      <c r="I210" s="703"/>
      <c r="J210" s="703"/>
      <c r="K210" s="703"/>
      <c r="L210" s="703" t="str">
        <f t="shared" ref="L210:M222" si="243">L196</f>
        <v>A</v>
      </c>
      <c r="M210" s="703" t="str">
        <f t="shared" si="243"/>
        <v>A</v>
      </c>
      <c r="N210" s="703" t="s">
        <v>530</v>
      </c>
      <c r="O210" s="703"/>
      <c r="P210" s="703" t="str">
        <f t="shared" ref="P210:R222" si="244">P196</f>
        <v>A</v>
      </c>
      <c r="Q210" s="703" t="str">
        <f t="shared" si="244"/>
        <v>A</v>
      </c>
      <c r="R210" s="703" t="str">
        <f t="shared" si="244"/>
        <v>A</v>
      </c>
      <c r="S210" s="703" t="str">
        <f t="shared" ref="S210:S222" si="245">R210</f>
        <v>A</v>
      </c>
      <c r="T210" s="703" t="str">
        <f t="shared" ref="T210:T222" si="246">R210</f>
        <v>A</v>
      </c>
      <c r="U210" s="703" t="str">
        <f t="shared" ref="U210:U222" si="247">G210</f>
        <v>A</v>
      </c>
      <c r="V210" s="703" t="str">
        <f t="shared" ref="V210:V222" si="248">V196</f>
        <v>A</v>
      </c>
      <c r="W210" s="703" t="str">
        <f t="shared" ref="W210:W222" si="249">W10</f>
        <v>A</v>
      </c>
      <c r="X210" s="703" t="str">
        <f t="shared" ref="X210:X222" si="250">G210</f>
        <v>A</v>
      </c>
      <c r="Y210" s="703" t="str">
        <f t="shared" ref="Y210:Y222" si="251">R210</f>
        <v>A</v>
      </c>
      <c r="Z210" s="703" t="str">
        <f t="shared" ref="Z210:Z222" si="252">R210</f>
        <v>A</v>
      </c>
      <c r="AA210" s="703" t="str">
        <f t="shared" ref="AA210:AA222" si="253">$V210</f>
        <v>A</v>
      </c>
      <c r="AB210" s="703" t="str">
        <f t="shared" ref="AB210:AB222" si="254">G210</f>
        <v>A</v>
      </c>
      <c r="AC210" s="703" t="str">
        <f t="shared" ref="AC210:AC222" si="255">R210</f>
        <v>A</v>
      </c>
      <c r="AD210" s="804"/>
      <c r="AE210" s="804"/>
      <c r="AF210" s="791"/>
      <c r="AG210" s="798"/>
      <c r="AH210" s="928"/>
      <c r="AI210" s="732"/>
      <c r="AJ210" s="733"/>
    </row>
    <row r="211" spans="1:52" hidden="1" outlineLevel="1" x14ac:dyDescent="0.25">
      <c r="A211" s="159"/>
      <c r="B211" s="1359"/>
      <c r="C211" s="667" t="str">
        <f>'Optimalizačné opatrenia'!$B$3</f>
        <v>Sfunkčnenie</v>
      </c>
      <c r="D211" s="718" t="s">
        <v>530</v>
      </c>
      <c r="E211" s="703" t="s">
        <v>530</v>
      </c>
      <c r="F211" s="703" t="s">
        <v>530</v>
      </c>
      <c r="G211" s="703" t="str">
        <f t="shared" si="242"/>
        <v>N</v>
      </c>
      <c r="H211" s="703"/>
      <c r="I211" s="703"/>
      <c r="J211" s="703"/>
      <c r="K211" s="703"/>
      <c r="L211" s="703" t="str">
        <f t="shared" si="243"/>
        <v>N</v>
      </c>
      <c r="M211" s="703" t="str">
        <f t="shared" si="243"/>
        <v>N</v>
      </c>
      <c r="N211" s="703" t="s">
        <v>530</v>
      </c>
      <c r="O211" s="703"/>
      <c r="P211" s="703" t="str">
        <f t="shared" si="244"/>
        <v>N</v>
      </c>
      <c r="Q211" s="703" t="str">
        <f t="shared" si="244"/>
        <v>N</v>
      </c>
      <c r="R211" s="703" t="str">
        <f t="shared" si="244"/>
        <v>N</v>
      </c>
      <c r="S211" s="703" t="str">
        <f t="shared" si="245"/>
        <v>N</v>
      </c>
      <c r="T211" s="703" t="str">
        <f t="shared" si="246"/>
        <v>N</v>
      </c>
      <c r="U211" s="703" t="str">
        <f t="shared" si="247"/>
        <v>N</v>
      </c>
      <c r="V211" s="703" t="str">
        <f t="shared" si="248"/>
        <v>N</v>
      </c>
      <c r="W211" s="703" t="str">
        <f t="shared" si="249"/>
        <v>N</v>
      </c>
      <c r="X211" s="703" t="str">
        <f t="shared" si="250"/>
        <v>N</v>
      </c>
      <c r="Y211" s="703" t="str">
        <f t="shared" si="251"/>
        <v>N</v>
      </c>
      <c r="Z211" s="703" t="str">
        <f t="shared" si="252"/>
        <v>N</v>
      </c>
      <c r="AA211" s="703" t="str">
        <f t="shared" si="253"/>
        <v>N</v>
      </c>
      <c r="AB211" s="703" t="str">
        <f t="shared" si="254"/>
        <v>N</v>
      </c>
      <c r="AC211" s="703" t="str">
        <f t="shared" si="255"/>
        <v>N</v>
      </c>
      <c r="AD211" s="804"/>
      <c r="AE211" s="804"/>
      <c r="AF211" s="791"/>
      <c r="AG211" s="798"/>
      <c r="AH211" s="928"/>
      <c r="AI211" s="732"/>
      <c r="AJ211" s="733"/>
    </row>
    <row r="212" spans="1:52" hidden="1" outlineLevel="1" x14ac:dyDescent="0.25">
      <c r="A212" s="159"/>
      <c r="B212" s="1359"/>
      <c r="C212" s="667" t="str">
        <f>'Optimalizačné opatrenia'!$B$4</f>
        <v>Zjednotenie</v>
      </c>
      <c r="D212" s="718" t="s">
        <v>530</v>
      </c>
      <c r="E212" s="703" t="s">
        <v>530</v>
      </c>
      <c r="F212" s="703" t="s">
        <v>530</v>
      </c>
      <c r="G212" s="703" t="str">
        <f t="shared" si="242"/>
        <v>A</v>
      </c>
      <c r="H212" s="703"/>
      <c r="I212" s="703"/>
      <c r="J212" s="703"/>
      <c r="K212" s="703"/>
      <c r="L212" s="703" t="str">
        <f t="shared" si="243"/>
        <v>A</v>
      </c>
      <c r="M212" s="703" t="str">
        <f t="shared" si="243"/>
        <v>A</v>
      </c>
      <c r="N212" s="703" t="s">
        <v>530</v>
      </c>
      <c r="O212" s="703"/>
      <c r="P212" s="703" t="str">
        <f t="shared" si="244"/>
        <v>A</v>
      </c>
      <c r="Q212" s="703" t="str">
        <f t="shared" si="244"/>
        <v>A</v>
      </c>
      <c r="R212" s="703" t="str">
        <f t="shared" si="244"/>
        <v>A</v>
      </c>
      <c r="S212" s="703" t="str">
        <f t="shared" si="245"/>
        <v>A</v>
      </c>
      <c r="T212" s="703" t="str">
        <f t="shared" si="246"/>
        <v>A</v>
      </c>
      <c r="U212" s="703" t="str">
        <f t="shared" si="247"/>
        <v>A</v>
      </c>
      <c r="V212" s="703" t="str">
        <f t="shared" si="248"/>
        <v>A</v>
      </c>
      <c r="W212" s="703" t="str">
        <f t="shared" si="249"/>
        <v>A</v>
      </c>
      <c r="X212" s="703" t="str">
        <f t="shared" si="250"/>
        <v>A</v>
      </c>
      <c r="Y212" s="703" t="str">
        <f t="shared" si="251"/>
        <v>A</v>
      </c>
      <c r="Z212" s="703" t="str">
        <f t="shared" si="252"/>
        <v>A</v>
      </c>
      <c r="AA212" s="703" t="str">
        <f t="shared" si="253"/>
        <v>A</v>
      </c>
      <c r="AB212" s="703" t="str">
        <f t="shared" si="254"/>
        <v>A</v>
      </c>
      <c r="AC212" s="703" t="str">
        <f t="shared" si="255"/>
        <v>A</v>
      </c>
      <c r="AD212" s="804"/>
      <c r="AE212" s="804"/>
      <c r="AF212" s="791"/>
      <c r="AG212" s="798"/>
      <c r="AH212" s="928"/>
      <c r="AI212" s="732"/>
      <c r="AJ212" s="733"/>
    </row>
    <row r="213" spans="1:52" hidden="1" outlineLevel="1" x14ac:dyDescent="0.25">
      <c r="A213" s="159"/>
      <c r="B213" s="1359"/>
      <c r="C213" s="667" t="str">
        <f>'Optimalizačné opatrenia'!$B$5</f>
        <v>Centralizácia</v>
      </c>
      <c r="D213" s="718" t="s">
        <v>530</v>
      </c>
      <c r="E213" s="703" t="s">
        <v>530</v>
      </c>
      <c r="F213" s="703" t="s">
        <v>530</v>
      </c>
      <c r="G213" s="703" t="str">
        <f t="shared" si="242"/>
        <v>A</v>
      </c>
      <c r="H213" s="703"/>
      <c r="I213" s="703"/>
      <c r="J213" s="703"/>
      <c r="K213" s="703"/>
      <c r="L213" s="703" t="str">
        <f t="shared" si="243"/>
        <v>A</v>
      </c>
      <c r="M213" s="703" t="str">
        <f t="shared" si="243"/>
        <v>A</v>
      </c>
      <c r="N213" s="703" t="s">
        <v>530</v>
      </c>
      <c r="O213" s="703"/>
      <c r="P213" s="703" t="str">
        <f t="shared" si="244"/>
        <v>A</v>
      </c>
      <c r="Q213" s="703" t="str">
        <f t="shared" si="244"/>
        <v>A</v>
      </c>
      <c r="R213" s="703" t="str">
        <f t="shared" si="244"/>
        <v>A</v>
      </c>
      <c r="S213" s="703" t="str">
        <f t="shared" si="245"/>
        <v>A</v>
      </c>
      <c r="T213" s="703" t="str">
        <f t="shared" si="246"/>
        <v>A</v>
      </c>
      <c r="U213" s="703" t="str">
        <f t="shared" si="247"/>
        <v>A</v>
      </c>
      <c r="V213" s="703" t="str">
        <f t="shared" si="248"/>
        <v>A</v>
      </c>
      <c r="W213" s="703" t="str">
        <f t="shared" si="249"/>
        <v>A</v>
      </c>
      <c r="X213" s="703" t="str">
        <f t="shared" si="250"/>
        <v>A</v>
      </c>
      <c r="Y213" s="703" t="str">
        <f t="shared" si="251"/>
        <v>A</v>
      </c>
      <c r="Z213" s="703" t="str">
        <f t="shared" si="252"/>
        <v>A</v>
      </c>
      <c r="AA213" s="703" t="str">
        <f t="shared" si="253"/>
        <v>A</v>
      </c>
      <c r="AB213" s="703" t="str">
        <f t="shared" si="254"/>
        <v>A</v>
      </c>
      <c r="AC213" s="703" t="str">
        <f t="shared" si="255"/>
        <v>A</v>
      </c>
      <c r="AD213" s="804"/>
      <c r="AE213" s="804"/>
      <c r="AF213" s="791"/>
      <c r="AG213" s="798"/>
      <c r="AH213" s="928"/>
      <c r="AI213" s="732"/>
      <c r="AJ213" s="733"/>
    </row>
    <row r="214" spans="1:52" hidden="1" outlineLevel="1" x14ac:dyDescent="0.25">
      <c r="A214" s="159"/>
      <c r="B214" s="1359"/>
      <c r="C214" s="667" t="str">
        <f>'Optimalizačné opatrenia'!$B$6</f>
        <v>Elektronizácia</v>
      </c>
      <c r="D214" s="718" t="s">
        <v>530</v>
      </c>
      <c r="E214" s="703" t="s">
        <v>530</v>
      </c>
      <c r="F214" s="703" t="s">
        <v>530</v>
      </c>
      <c r="G214" s="703" t="str">
        <f t="shared" si="242"/>
        <v>A</v>
      </c>
      <c r="H214" s="703"/>
      <c r="I214" s="703"/>
      <c r="J214" s="703"/>
      <c r="K214" s="703"/>
      <c r="L214" s="703" t="str">
        <f t="shared" si="243"/>
        <v>A</v>
      </c>
      <c r="M214" s="703" t="str">
        <f t="shared" si="243"/>
        <v>A</v>
      </c>
      <c r="N214" s="703" t="s">
        <v>530</v>
      </c>
      <c r="O214" s="703"/>
      <c r="P214" s="703" t="str">
        <f t="shared" si="244"/>
        <v>A</v>
      </c>
      <c r="Q214" s="703" t="str">
        <f t="shared" si="244"/>
        <v>A</v>
      </c>
      <c r="R214" s="703" t="str">
        <f t="shared" si="244"/>
        <v>A</v>
      </c>
      <c r="S214" s="703" t="str">
        <f t="shared" si="245"/>
        <v>A</v>
      </c>
      <c r="T214" s="703" t="str">
        <f t="shared" si="246"/>
        <v>A</v>
      </c>
      <c r="U214" s="703" t="str">
        <f t="shared" si="247"/>
        <v>A</v>
      </c>
      <c r="V214" s="703" t="str">
        <f t="shared" si="248"/>
        <v>A</v>
      </c>
      <c r="W214" s="703" t="str">
        <f t="shared" si="249"/>
        <v>A</v>
      </c>
      <c r="X214" s="703" t="str">
        <f t="shared" si="250"/>
        <v>A</v>
      </c>
      <c r="Y214" s="703" t="str">
        <f t="shared" si="251"/>
        <v>A</v>
      </c>
      <c r="Z214" s="703" t="str">
        <f t="shared" si="252"/>
        <v>A</v>
      </c>
      <c r="AA214" s="703" t="str">
        <f t="shared" si="253"/>
        <v>A</v>
      </c>
      <c r="AB214" s="703" t="str">
        <f t="shared" si="254"/>
        <v>A</v>
      </c>
      <c r="AC214" s="703" t="str">
        <f t="shared" si="255"/>
        <v>A</v>
      </c>
      <c r="AD214" s="804"/>
      <c r="AE214" s="804"/>
      <c r="AF214" s="791"/>
      <c r="AG214" s="798"/>
      <c r="AH214" s="928"/>
      <c r="AI214" s="732"/>
      <c r="AJ214" s="733"/>
    </row>
    <row r="215" spans="1:52" hidden="1" outlineLevel="1" x14ac:dyDescent="0.25">
      <c r="A215" s="159"/>
      <c r="B215" s="1359"/>
      <c r="C215" s="667" t="str">
        <f>'Optimalizačné opatrenia'!$B$7</f>
        <v>Automatizácia</v>
      </c>
      <c r="D215" s="718" t="s">
        <v>530</v>
      </c>
      <c r="E215" s="703" t="s">
        <v>530</v>
      </c>
      <c r="F215" s="703" t="s">
        <v>530</v>
      </c>
      <c r="G215" s="703" t="str">
        <f t="shared" si="242"/>
        <v>A</v>
      </c>
      <c r="H215" s="703"/>
      <c r="I215" s="703"/>
      <c r="J215" s="703"/>
      <c r="K215" s="703"/>
      <c r="L215" s="703" t="str">
        <f t="shared" si="243"/>
        <v>A</v>
      </c>
      <c r="M215" s="703" t="str">
        <f t="shared" si="243"/>
        <v>A</v>
      </c>
      <c r="N215" s="703" t="s">
        <v>530</v>
      </c>
      <c r="O215" s="703"/>
      <c r="P215" s="703" t="str">
        <f t="shared" si="244"/>
        <v>A</v>
      </c>
      <c r="Q215" s="703" t="str">
        <f t="shared" si="244"/>
        <v>A</v>
      </c>
      <c r="R215" s="703" t="str">
        <f t="shared" si="244"/>
        <v>A</v>
      </c>
      <c r="S215" s="703" t="str">
        <f t="shared" si="245"/>
        <v>A</v>
      </c>
      <c r="T215" s="703" t="str">
        <f t="shared" si="246"/>
        <v>A</v>
      </c>
      <c r="U215" s="703" t="str">
        <f t="shared" si="247"/>
        <v>A</v>
      </c>
      <c r="V215" s="703" t="str">
        <f t="shared" si="248"/>
        <v>A</v>
      </c>
      <c r="W215" s="703" t="str">
        <f t="shared" si="249"/>
        <v>A</v>
      </c>
      <c r="X215" s="703" t="str">
        <f t="shared" si="250"/>
        <v>A</v>
      </c>
      <c r="Y215" s="703" t="str">
        <f t="shared" si="251"/>
        <v>A</v>
      </c>
      <c r="Z215" s="703" t="str">
        <f t="shared" si="252"/>
        <v>A</v>
      </c>
      <c r="AA215" s="703" t="str">
        <f t="shared" si="253"/>
        <v>A</v>
      </c>
      <c r="AB215" s="703" t="str">
        <f t="shared" si="254"/>
        <v>A</v>
      </c>
      <c r="AC215" s="703" t="str">
        <f t="shared" si="255"/>
        <v>A</v>
      </c>
      <c r="AD215" s="804"/>
      <c r="AE215" s="804"/>
      <c r="AF215" s="791"/>
      <c r="AG215" s="798"/>
      <c r="AH215" s="928"/>
      <c r="AI215" s="732"/>
      <c r="AJ215" s="733"/>
    </row>
    <row r="216" spans="1:52" hidden="1" outlineLevel="1" x14ac:dyDescent="0.25">
      <c r="A216" s="159"/>
      <c r="B216" s="1359"/>
      <c r="C216" s="667" t="str">
        <f>'Optimalizačné opatrenia'!$B$8</f>
        <v>Bezpečnosť</v>
      </c>
      <c r="D216" s="718" t="s">
        <v>530</v>
      </c>
      <c r="E216" s="703" t="s">
        <v>530</v>
      </c>
      <c r="F216" s="703" t="s">
        <v>530</v>
      </c>
      <c r="G216" s="703" t="str">
        <f t="shared" si="242"/>
        <v>A</v>
      </c>
      <c r="H216" s="703"/>
      <c r="I216" s="703"/>
      <c r="J216" s="703"/>
      <c r="K216" s="703"/>
      <c r="L216" s="703" t="str">
        <f t="shared" si="243"/>
        <v>A</v>
      </c>
      <c r="M216" s="703" t="str">
        <f t="shared" si="243"/>
        <v>A</v>
      </c>
      <c r="N216" s="703" t="s">
        <v>530</v>
      </c>
      <c r="O216" s="703"/>
      <c r="P216" s="703" t="str">
        <f t="shared" si="244"/>
        <v>A</v>
      </c>
      <c r="Q216" s="703" t="str">
        <f t="shared" si="244"/>
        <v>A</v>
      </c>
      <c r="R216" s="703" t="str">
        <f t="shared" si="244"/>
        <v>A</v>
      </c>
      <c r="S216" s="703" t="str">
        <f t="shared" si="245"/>
        <v>A</v>
      </c>
      <c r="T216" s="703" t="str">
        <f t="shared" si="246"/>
        <v>A</v>
      </c>
      <c r="U216" s="703" t="str">
        <f t="shared" si="247"/>
        <v>A</v>
      </c>
      <c r="V216" s="703" t="str">
        <f t="shared" si="248"/>
        <v>A</v>
      </c>
      <c r="W216" s="703" t="str">
        <f t="shared" si="249"/>
        <v>A</v>
      </c>
      <c r="X216" s="703" t="str">
        <f t="shared" si="250"/>
        <v>A</v>
      </c>
      <c r="Y216" s="703" t="str">
        <f t="shared" si="251"/>
        <v>A</v>
      </c>
      <c r="Z216" s="703" t="str">
        <f t="shared" si="252"/>
        <v>A</v>
      </c>
      <c r="AA216" s="703" t="str">
        <f t="shared" si="253"/>
        <v>A</v>
      </c>
      <c r="AB216" s="703" t="str">
        <f t="shared" si="254"/>
        <v>A</v>
      </c>
      <c r="AC216" s="703" t="str">
        <f t="shared" si="255"/>
        <v>A</v>
      </c>
      <c r="AD216" s="804"/>
      <c r="AE216" s="804"/>
      <c r="AF216" s="791"/>
      <c r="AG216" s="798"/>
      <c r="AH216" s="928"/>
      <c r="AI216" s="732"/>
      <c r="AJ216" s="733"/>
    </row>
    <row r="217" spans="1:52" hidden="1" outlineLevel="1" x14ac:dyDescent="0.25">
      <c r="A217" s="159"/>
      <c r="B217" s="1359"/>
      <c r="C217" s="667" t="str">
        <f>'Optimalizačné opatrenia'!$B$9</f>
        <v>Auditovateľnosť</v>
      </c>
      <c r="D217" s="718" t="s">
        <v>530</v>
      </c>
      <c r="E217" s="703" t="s">
        <v>530</v>
      </c>
      <c r="F217" s="703" t="s">
        <v>530</v>
      </c>
      <c r="G217" s="703" t="str">
        <f t="shared" si="242"/>
        <v>A</v>
      </c>
      <c r="H217" s="703"/>
      <c r="I217" s="703"/>
      <c r="J217" s="703"/>
      <c r="K217" s="703"/>
      <c r="L217" s="703" t="str">
        <f t="shared" si="243"/>
        <v>A</v>
      </c>
      <c r="M217" s="703" t="str">
        <f t="shared" si="243"/>
        <v>A</v>
      </c>
      <c r="N217" s="703" t="s">
        <v>530</v>
      </c>
      <c r="O217" s="703"/>
      <c r="P217" s="703" t="str">
        <f t="shared" si="244"/>
        <v>A</v>
      </c>
      <c r="Q217" s="703" t="str">
        <f t="shared" si="244"/>
        <v>A</v>
      </c>
      <c r="R217" s="703" t="str">
        <f t="shared" si="244"/>
        <v>N</v>
      </c>
      <c r="S217" s="703" t="str">
        <f t="shared" si="245"/>
        <v>N</v>
      </c>
      <c r="T217" s="703" t="str">
        <f t="shared" si="246"/>
        <v>N</v>
      </c>
      <c r="U217" s="703" t="str">
        <f t="shared" si="247"/>
        <v>A</v>
      </c>
      <c r="V217" s="703" t="str">
        <f t="shared" si="248"/>
        <v>A</v>
      </c>
      <c r="W217" s="703" t="str">
        <f t="shared" si="249"/>
        <v>A</v>
      </c>
      <c r="X217" s="703" t="str">
        <f t="shared" si="250"/>
        <v>A</v>
      </c>
      <c r="Y217" s="703" t="str">
        <f t="shared" si="251"/>
        <v>N</v>
      </c>
      <c r="Z217" s="703" t="str">
        <f t="shared" si="252"/>
        <v>N</v>
      </c>
      <c r="AA217" s="703" t="str">
        <f t="shared" si="253"/>
        <v>A</v>
      </c>
      <c r="AB217" s="703" t="str">
        <f t="shared" si="254"/>
        <v>A</v>
      </c>
      <c r="AC217" s="703" t="str">
        <f t="shared" si="255"/>
        <v>N</v>
      </c>
      <c r="AD217" s="804"/>
      <c r="AE217" s="804"/>
      <c r="AF217" s="791"/>
      <c r="AG217" s="798"/>
      <c r="AH217" s="928"/>
      <c r="AI217" s="732"/>
      <c r="AJ217" s="733"/>
    </row>
    <row r="218" spans="1:52" hidden="1" outlineLevel="1" x14ac:dyDescent="0.25">
      <c r="A218" s="159"/>
      <c r="B218" s="1359"/>
      <c r="C218" s="667" t="str">
        <f>'Optimalizačné opatrenia'!$B$10</f>
        <v>Transparentnosť</v>
      </c>
      <c r="D218" s="718" t="s">
        <v>530</v>
      </c>
      <c r="E218" s="703" t="s">
        <v>530</v>
      </c>
      <c r="F218" s="703" t="s">
        <v>530</v>
      </c>
      <c r="G218" s="703" t="str">
        <f t="shared" si="242"/>
        <v>N</v>
      </c>
      <c r="H218" s="703"/>
      <c r="I218" s="703"/>
      <c r="J218" s="703"/>
      <c r="K218" s="703"/>
      <c r="L218" s="703" t="str">
        <f t="shared" si="243"/>
        <v>N</v>
      </c>
      <c r="M218" s="703" t="str">
        <f t="shared" si="243"/>
        <v>N</v>
      </c>
      <c r="N218" s="703" t="s">
        <v>530</v>
      </c>
      <c r="O218" s="703"/>
      <c r="P218" s="703" t="str">
        <f t="shared" si="244"/>
        <v>A</v>
      </c>
      <c r="Q218" s="703" t="str">
        <f t="shared" si="244"/>
        <v>N</v>
      </c>
      <c r="R218" s="703" t="str">
        <f t="shared" si="244"/>
        <v>N</v>
      </c>
      <c r="S218" s="703" t="str">
        <f t="shared" si="245"/>
        <v>N</v>
      </c>
      <c r="T218" s="703" t="str">
        <f t="shared" si="246"/>
        <v>N</v>
      </c>
      <c r="U218" s="703" t="str">
        <f t="shared" si="247"/>
        <v>N</v>
      </c>
      <c r="V218" s="703" t="str">
        <f t="shared" si="248"/>
        <v>A</v>
      </c>
      <c r="W218" s="703" t="str">
        <f t="shared" si="249"/>
        <v>N</v>
      </c>
      <c r="X218" s="703" t="str">
        <f t="shared" si="250"/>
        <v>N</v>
      </c>
      <c r="Y218" s="703" t="str">
        <f t="shared" si="251"/>
        <v>N</v>
      </c>
      <c r="Z218" s="703" t="str">
        <f t="shared" si="252"/>
        <v>N</v>
      </c>
      <c r="AA218" s="703" t="str">
        <f t="shared" si="253"/>
        <v>A</v>
      </c>
      <c r="AB218" s="703" t="str">
        <f t="shared" si="254"/>
        <v>N</v>
      </c>
      <c r="AC218" s="703" t="str">
        <f t="shared" si="255"/>
        <v>N</v>
      </c>
      <c r="AD218" s="804"/>
      <c r="AE218" s="804"/>
      <c r="AF218" s="791"/>
      <c r="AG218" s="798"/>
      <c r="AH218" s="928"/>
      <c r="AI218" s="732"/>
      <c r="AJ218" s="733"/>
    </row>
    <row r="219" spans="1:52" hidden="1" outlineLevel="1" x14ac:dyDescent="0.25">
      <c r="A219" s="159"/>
      <c r="B219" s="1359"/>
      <c r="C219" s="667" t="str">
        <f>'Optimalizačné opatrenia'!$B$11</f>
        <v>Analyzovatelnosť</v>
      </c>
      <c r="D219" s="718" t="s">
        <v>530</v>
      </c>
      <c r="E219" s="703" t="s">
        <v>530</v>
      </c>
      <c r="F219" s="703" t="s">
        <v>530</v>
      </c>
      <c r="G219" s="703" t="str">
        <f t="shared" si="242"/>
        <v>A</v>
      </c>
      <c r="H219" s="703"/>
      <c r="I219" s="703"/>
      <c r="J219" s="703"/>
      <c r="K219" s="703"/>
      <c r="L219" s="703" t="str">
        <f t="shared" si="243"/>
        <v>A</v>
      </c>
      <c r="M219" s="703" t="str">
        <f t="shared" si="243"/>
        <v>A</v>
      </c>
      <c r="N219" s="703" t="s">
        <v>530</v>
      </c>
      <c r="O219" s="703"/>
      <c r="P219" s="703" t="str">
        <f t="shared" si="244"/>
        <v>A</v>
      </c>
      <c r="Q219" s="703" t="str">
        <f t="shared" si="244"/>
        <v>A</v>
      </c>
      <c r="R219" s="703" t="str">
        <f t="shared" si="244"/>
        <v>N</v>
      </c>
      <c r="S219" s="703" t="str">
        <f t="shared" si="245"/>
        <v>N</v>
      </c>
      <c r="T219" s="703" t="str">
        <f t="shared" si="246"/>
        <v>N</v>
      </c>
      <c r="U219" s="703" t="str">
        <f t="shared" si="247"/>
        <v>A</v>
      </c>
      <c r="V219" s="703" t="str">
        <f t="shared" si="248"/>
        <v>A</v>
      </c>
      <c r="W219" s="703" t="str">
        <f t="shared" si="249"/>
        <v>A</v>
      </c>
      <c r="X219" s="703" t="str">
        <f t="shared" si="250"/>
        <v>A</v>
      </c>
      <c r="Y219" s="703" t="str">
        <f t="shared" si="251"/>
        <v>N</v>
      </c>
      <c r="Z219" s="703" t="str">
        <f t="shared" si="252"/>
        <v>N</v>
      </c>
      <c r="AA219" s="703" t="str">
        <f t="shared" si="253"/>
        <v>A</v>
      </c>
      <c r="AB219" s="703" t="str">
        <f t="shared" si="254"/>
        <v>A</v>
      </c>
      <c r="AC219" s="703" t="str">
        <f t="shared" si="255"/>
        <v>N</v>
      </c>
      <c r="AD219" s="804"/>
      <c r="AE219" s="804"/>
      <c r="AF219" s="791"/>
      <c r="AG219" s="798"/>
      <c r="AH219" s="928"/>
      <c r="AI219" s="732"/>
      <c r="AJ219" s="733"/>
    </row>
    <row r="220" spans="1:52" hidden="1" outlineLevel="1" x14ac:dyDescent="0.25">
      <c r="A220" s="159"/>
      <c r="B220" s="1359"/>
      <c r="C220" s="667" t="str">
        <f>'Optimalizačné opatrenia'!$B$12</f>
        <v>Integrácia</v>
      </c>
      <c r="D220" s="718" t="s">
        <v>530</v>
      </c>
      <c r="E220" s="703" t="s">
        <v>530</v>
      </c>
      <c r="F220" s="703" t="s">
        <v>530</v>
      </c>
      <c r="G220" s="703" t="str">
        <f t="shared" si="242"/>
        <v>A</v>
      </c>
      <c r="H220" s="703"/>
      <c r="I220" s="703"/>
      <c r="J220" s="703"/>
      <c r="K220" s="703"/>
      <c r="L220" s="703" t="str">
        <f t="shared" si="243"/>
        <v>A</v>
      </c>
      <c r="M220" s="703" t="str">
        <f t="shared" si="243"/>
        <v>A</v>
      </c>
      <c r="N220" s="703" t="s">
        <v>530</v>
      </c>
      <c r="O220" s="703"/>
      <c r="P220" s="703" t="str">
        <f t="shared" si="244"/>
        <v>A</v>
      </c>
      <c r="Q220" s="703" t="str">
        <f t="shared" si="244"/>
        <v>A</v>
      </c>
      <c r="R220" s="703" t="str">
        <f t="shared" si="244"/>
        <v>A</v>
      </c>
      <c r="S220" s="703" t="str">
        <f t="shared" si="245"/>
        <v>A</v>
      </c>
      <c r="T220" s="703" t="str">
        <f t="shared" si="246"/>
        <v>A</v>
      </c>
      <c r="U220" s="703" t="str">
        <f t="shared" si="247"/>
        <v>A</v>
      </c>
      <c r="V220" s="703" t="str">
        <f t="shared" si="248"/>
        <v>A</v>
      </c>
      <c r="W220" s="703" t="str">
        <f t="shared" si="249"/>
        <v>A</v>
      </c>
      <c r="X220" s="703" t="str">
        <f t="shared" si="250"/>
        <v>A</v>
      </c>
      <c r="Y220" s="703" t="str">
        <f t="shared" si="251"/>
        <v>A</v>
      </c>
      <c r="Z220" s="703" t="str">
        <f t="shared" si="252"/>
        <v>A</v>
      </c>
      <c r="AA220" s="703" t="str">
        <f t="shared" si="253"/>
        <v>A</v>
      </c>
      <c r="AB220" s="703" t="str">
        <f t="shared" si="254"/>
        <v>A</v>
      </c>
      <c r="AC220" s="703" t="str">
        <f t="shared" si="255"/>
        <v>A</v>
      </c>
      <c r="AD220" s="804"/>
      <c r="AE220" s="804"/>
      <c r="AF220" s="791"/>
      <c r="AG220" s="798"/>
      <c r="AH220" s="928"/>
      <c r="AI220" s="732"/>
      <c r="AJ220" s="733"/>
    </row>
    <row r="221" spans="1:52" hidden="1" outlineLevel="1" x14ac:dyDescent="0.25">
      <c r="A221" s="159"/>
      <c r="B221" s="1359"/>
      <c r="C221" s="672" t="str">
        <f>'Optimalizačné opatrenia'!$B$13</f>
        <v>Proaktivita</v>
      </c>
      <c r="D221" s="718" t="s">
        <v>530</v>
      </c>
      <c r="E221" s="703" t="s">
        <v>530</v>
      </c>
      <c r="F221" s="703" t="s">
        <v>530</v>
      </c>
      <c r="G221" s="703" t="str">
        <f t="shared" si="242"/>
        <v>N</v>
      </c>
      <c r="H221" s="703"/>
      <c r="I221" s="703"/>
      <c r="J221" s="703"/>
      <c r="K221" s="703"/>
      <c r="L221" s="703" t="str">
        <f t="shared" si="243"/>
        <v>A</v>
      </c>
      <c r="M221" s="703" t="str">
        <f t="shared" si="243"/>
        <v>N</v>
      </c>
      <c r="N221" s="703" t="s">
        <v>530</v>
      </c>
      <c r="O221" s="703"/>
      <c r="P221" s="703" t="str">
        <f t="shared" si="244"/>
        <v>N</v>
      </c>
      <c r="Q221" s="703" t="str">
        <f t="shared" si="244"/>
        <v>N</v>
      </c>
      <c r="R221" s="703" t="str">
        <f t="shared" si="244"/>
        <v>A</v>
      </c>
      <c r="S221" s="703" t="str">
        <f t="shared" si="245"/>
        <v>A</v>
      </c>
      <c r="T221" s="703" t="str">
        <f t="shared" si="246"/>
        <v>A</v>
      </c>
      <c r="U221" s="703" t="str">
        <f t="shared" si="247"/>
        <v>N</v>
      </c>
      <c r="V221" s="703" t="str">
        <f t="shared" si="248"/>
        <v>A</v>
      </c>
      <c r="W221" s="703" t="str">
        <f t="shared" si="249"/>
        <v>N</v>
      </c>
      <c r="X221" s="703" t="str">
        <f t="shared" si="250"/>
        <v>N</v>
      </c>
      <c r="Y221" s="703" t="str">
        <f t="shared" si="251"/>
        <v>A</v>
      </c>
      <c r="Z221" s="703" t="str">
        <f t="shared" si="252"/>
        <v>A</v>
      </c>
      <c r="AA221" s="703" t="str">
        <f t="shared" si="253"/>
        <v>A</v>
      </c>
      <c r="AB221" s="703" t="str">
        <f t="shared" si="254"/>
        <v>N</v>
      </c>
      <c r="AC221" s="703" t="str">
        <f t="shared" si="255"/>
        <v>A</v>
      </c>
      <c r="AD221" s="804"/>
      <c r="AE221" s="804"/>
      <c r="AF221" s="791"/>
      <c r="AG221" s="798"/>
      <c r="AH221" s="928"/>
      <c r="AI221" s="732"/>
      <c r="AJ221" s="733"/>
    </row>
    <row r="222" spans="1:52" hidden="1" outlineLevel="1" x14ac:dyDescent="0.25">
      <c r="A222" s="159"/>
      <c r="B222" s="720"/>
      <c r="C222" s="722" t="s">
        <v>538</v>
      </c>
      <c r="D222" s="723">
        <v>0</v>
      </c>
      <c r="E222" s="721">
        <v>0</v>
      </c>
      <c r="F222" s="724">
        <v>0</v>
      </c>
      <c r="G222" s="724">
        <f t="shared" si="242"/>
        <v>0.3</v>
      </c>
      <c r="H222" s="724"/>
      <c r="I222" s="724"/>
      <c r="J222" s="724"/>
      <c r="K222" s="724"/>
      <c r="L222" s="724">
        <f t="shared" si="243"/>
        <v>0.4</v>
      </c>
      <c r="M222" s="724">
        <f t="shared" si="243"/>
        <v>0.3</v>
      </c>
      <c r="N222" s="724">
        <v>0</v>
      </c>
      <c r="O222" s="724"/>
      <c r="P222" s="724">
        <f t="shared" si="244"/>
        <v>0.45</v>
      </c>
      <c r="Q222" s="724">
        <f t="shared" si="244"/>
        <v>0.3</v>
      </c>
      <c r="R222" s="724">
        <f t="shared" si="244"/>
        <v>0.25</v>
      </c>
      <c r="S222" s="724">
        <f t="shared" si="245"/>
        <v>0.25</v>
      </c>
      <c r="T222" s="724">
        <f t="shared" si="246"/>
        <v>0.25</v>
      </c>
      <c r="U222" s="724">
        <f t="shared" si="247"/>
        <v>0.3</v>
      </c>
      <c r="V222" s="724">
        <f t="shared" si="248"/>
        <v>0.5</v>
      </c>
      <c r="W222" s="724">
        <f t="shared" si="249"/>
        <v>0.3</v>
      </c>
      <c r="X222" s="724">
        <f t="shared" si="250"/>
        <v>0.3</v>
      </c>
      <c r="Y222" s="724">
        <f t="shared" si="251"/>
        <v>0.25</v>
      </c>
      <c r="Z222" s="724">
        <f t="shared" si="252"/>
        <v>0.25</v>
      </c>
      <c r="AA222" s="724">
        <f t="shared" si="253"/>
        <v>0.5</v>
      </c>
      <c r="AB222" s="724">
        <f t="shared" si="254"/>
        <v>0.3</v>
      </c>
      <c r="AC222" s="724">
        <f t="shared" si="255"/>
        <v>0.25</v>
      </c>
      <c r="AD222" s="805"/>
      <c r="AE222" s="805"/>
      <c r="AF222" s="792"/>
      <c r="AG222" s="799"/>
      <c r="AH222" s="929"/>
      <c r="AI222" s="735"/>
      <c r="AJ222" s="736"/>
    </row>
    <row r="223" spans="1:52" ht="75" collapsed="1" x14ac:dyDescent="0.25">
      <c r="A223" s="159">
        <f ca="1">OFFSET(A223,-14,0)+1</f>
        <v>16</v>
      </c>
      <c r="B223" s="234" t="str">
        <f ca="1">'Procesy - AS IS'!B56</f>
        <v>Meranie č. 16</v>
      </c>
      <c r="C223" s="650" t="str">
        <f>'Procesy - AS IS'!C56</f>
        <v>Alfafin Plus, s.r.o., prevádzka Lehnice, Kontrola prevádzkovateľov zariadení na zber odpadov, 5566/2018
8159/2018</v>
      </c>
      <c r="D223" s="726">
        <f>-'Procesy - AS IS'!D58*D236</f>
        <v>0</v>
      </c>
      <c r="E223" s="653">
        <f>-'Procesy - AS IS'!E58*E236</f>
        <v>0</v>
      </c>
      <c r="F223" s="653">
        <f>-'Procesy - AS IS'!F58*F236</f>
        <v>0</v>
      </c>
      <c r="G223" s="653">
        <f>-'Procesy - AS IS'!G58*G236</f>
        <v>-0.89999999999999991</v>
      </c>
      <c r="H223" s="653" t="s">
        <v>555</v>
      </c>
      <c r="I223" s="653" t="s">
        <v>555</v>
      </c>
      <c r="J223" s="653" t="s">
        <v>555</v>
      </c>
      <c r="K223" s="653" t="s">
        <v>555</v>
      </c>
      <c r="L223" s="653">
        <f>-'Procesy - AS IS'!L58*L236</f>
        <v>0</v>
      </c>
      <c r="M223" s="653">
        <f>-'Procesy - AS IS'!M58*M236</f>
        <v>0</v>
      </c>
      <c r="N223" s="653">
        <f>-'Procesy - AS IS'!N58*N236</f>
        <v>0</v>
      </c>
      <c r="O223" s="653" t="s">
        <v>559</v>
      </c>
      <c r="P223" s="653">
        <f>-'Procesy - AS IS'!P58*P236</f>
        <v>-0.9</v>
      </c>
      <c r="Q223" s="653">
        <f>-'Procesy - AS IS'!Q58*Q236</f>
        <v>0</v>
      </c>
      <c r="R223" s="653">
        <f>-'Procesy - AS IS'!R58*R236</f>
        <v>-1.5547848426461144</v>
      </c>
      <c r="S223" s="653">
        <f>-'Procesy - AS IS'!S58*S236</f>
        <v>-2.4452151573538856</v>
      </c>
      <c r="T223" s="653">
        <f>-'Procesy - AS IS'!T58*T236</f>
        <v>-1.5547848426461144</v>
      </c>
      <c r="U223" s="653">
        <f>-'Procesy - AS IS'!U58*U236</f>
        <v>-0.18339113680154143</v>
      </c>
      <c r="V223" s="653">
        <f>-'Procesy - AS IS'!V58*V236</f>
        <v>-0.25</v>
      </c>
      <c r="W223" s="653">
        <f>-'Procesy - AS IS'!W58*W236</f>
        <v>-0.10999999999999999</v>
      </c>
      <c r="X223" s="653">
        <f>-'Procesy - AS IS'!X58*X236</f>
        <v>0</v>
      </c>
      <c r="Y223" s="653">
        <f>-'Procesy - AS IS'!Y58*Y236</f>
        <v>-0.97777777777777775</v>
      </c>
      <c r="Z223" s="653">
        <f>-'Procesy - AS IS'!Z58*Z236</f>
        <v>-5.5555555555555558E-3</v>
      </c>
      <c r="AA223" s="653">
        <f>-'Procesy - AS IS'!AA58*AA236</f>
        <v>-5.5555555555555558E-3</v>
      </c>
      <c r="AB223" s="653">
        <f>-'Procesy - AS IS'!AB58*AB236</f>
        <v>-8.8888888888888892E-2</v>
      </c>
      <c r="AC223" s="653">
        <f>-'Procesy - AS IS'!AC58*AC236</f>
        <v>-0.22222222222222224</v>
      </c>
      <c r="AD223" s="754"/>
      <c r="AE223" s="754">
        <f>SUM(D223:AC223)</f>
        <v>-9.1981759794476563</v>
      </c>
      <c r="AF223" s="728">
        <f>AE223/'Procesy - AS IS'!AD58</f>
        <v>-0.27144473611887682</v>
      </c>
      <c r="AG223" s="797">
        <f>'Procesy - AS IS'!AG58/(1+$AF223)-'Procesy - AS IS'!AG58</f>
        <v>16.766076275776591</v>
      </c>
      <c r="AH223" s="927">
        <f>'Procesy - AS IS'!AH58/(1+$AF223)-'Procesy - AS IS'!AH58</f>
        <v>6.5169103160565136</v>
      </c>
      <c r="AI223" s="730">
        <f>'Procesy - AS IS'!AI58/(1+$AF223)-'Procesy - AS IS'!AI58</f>
        <v>4.0983742007453881</v>
      </c>
      <c r="AJ223" s="731">
        <f>'Procesy - AS IS'!AJ58/(1+$AF223)-'Procesy - AS IS'!AJ58</f>
        <v>0.37257947279503534</v>
      </c>
      <c r="AL223" s="232"/>
      <c r="AZ223" s="227"/>
    </row>
    <row r="224" spans="1:52" hidden="1" outlineLevel="1" x14ac:dyDescent="0.25">
      <c r="A224" s="159"/>
      <c r="B224" s="1358" t="s">
        <v>528</v>
      </c>
      <c r="C224" s="667" t="str">
        <f>'Optimalizačné opatrenia'!$B$2</f>
        <v>Modernizácia</v>
      </c>
      <c r="D224" s="703" t="s">
        <v>530</v>
      </c>
      <c r="E224" s="674" t="s">
        <v>530</v>
      </c>
      <c r="F224" s="703" t="s">
        <v>530</v>
      </c>
      <c r="G224" s="703" t="str">
        <f t="shared" ref="G224:G264" si="256">G210</f>
        <v>A</v>
      </c>
      <c r="H224" s="703"/>
      <c r="I224" s="703"/>
      <c r="J224" s="703"/>
      <c r="K224" s="703"/>
      <c r="L224" s="703" t="str">
        <f t="shared" ref="L224:M236" si="257">L210</f>
        <v>A</v>
      </c>
      <c r="M224" s="703" t="str">
        <f t="shared" si="257"/>
        <v>A</v>
      </c>
      <c r="N224" s="703" t="str">
        <f t="shared" ref="N224:N236" si="258">G224</f>
        <v>A</v>
      </c>
      <c r="O224" s="703"/>
      <c r="P224" s="703" t="str">
        <f t="shared" ref="P224:Q236" si="259">P196</f>
        <v>A</v>
      </c>
      <c r="Q224" s="703" t="str">
        <f t="shared" si="259"/>
        <v>A</v>
      </c>
      <c r="R224" s="703" t="str">
        <f t="shared" ref="R224:R264" si="260">R210</f>
        <v>A</v>
      </c>
      <c r="S224" s="703" t="str">
        <f t="shared" ref="S224:S236" si="261">R224</f>
        <v>A</v>
      </c>
      <c r="T224" s="703" t="str">
        <f t="shared" ref="T224:T236" si="262">R196</f>
        <v>A</v>
      </c>
      <c r="U224" s="703" t="str">
        <f t="shared" ref="U224:U264" si="263">$G224</f>
        <v>A</v>
      </c>
      <c r="V224" s="703" t="str">
        <f t="shared" ref="V224:V264" si="264">V196</f>
        <v>A</v>
      </c>
      <c r="W224" s="703" t="str">
        <f t="shared" ref="W224:W236" si="265">W10</f>
        <v>A</v>
      </c>
      <c r="X224" s="703" t="str">
        <f t="shared" ref="X224:X264" si="266">$G224</f>
        <v>A</v>
      </c>
      <c r="Y224" s="703" t="str">
        <f t="shared" ref="Y224:Y264" si="267">$R224</f>
        <v>A</v>
      </c>
      <c r="Z224" s="703" t="str">
        <f t="shared" ref="Z224:Z236" si="268">R196</f>
        <v>A</v>
      </c>
      <c r="AA224" s="703" t="str">
        <f t="shared" ref="AA224:AA264" si="269">$V224</f>
        <v>A</v>
      </c>
      <c r="AB224" s="703" t="str">
        <f t="shared" ref="AB224:AC239" si="270">$R224</f>
        <v>A</v>
      </c>
      <c r="AC224" s="703" t="str">
        <f t="shared" si="270"/>
        <v>A</v>
      </c>
      <c r="AD224" s="804"/>
      <c r="AE224" s="804"/>
      <c r="AF224" s="791"/>
      <c r="AG224" s="798"/>
      <c r="AH224" s="928"/>
      <c r="AI224" s="732"/>
      <c r="AJ224" s="733"/>
    </row>
    <row r="225" spans="1:52" hidden="1" outlineLevel="1" x14ac:dyDescent="0.25">
      <c r="A225" s="159"/>
      <c r="B225" s="1359"/>
      <c r="C225" s="667" t="str">
        <f>'Optimalizačné opatrenia'!$B$3</f>
        <v>Sfunkčnenie</v>
      </c>
      <c r="D225" s="718" t="s">
        <v>530</v>
      </c>
      <c r="E225" s="703" t="s">
        <v>530</v>
      </c>
      <c r="F225" s="703" t="s">
        <v>530</v>
      </c>
      <c r="G225" s="703" t="str">
        <f t="shared" si="256"/>
        <v>N</v>
      </c>
      <c r="H225" s="703"/>
      <c r="I225" s="703"/>
      <c r="J225" s="703"/>
      <c r="K225" s="703"/>
      <c r="L225" s="703" t="str">
        <f t="shared" si="257"/>
        <v>N</v>
      </c>
      <c r="M225" s="703" t="str">
        <f t="shared" si="257"/>
        <v>N</v>
      </c>
      <c r="N225" s="703" t="str">
        <f t="shared" si="258"/>
        <v>N</v>
      </c>
      <c r="O225" s="703"/>
      <c r="P225" s="703" t="str">
        <f t="shared" si="259"/>
        <v>N</v>
      </c>
      <c r="Q225" s="703" t="str">
        <f t="shared" si="259"/>
        <v>N</v>
      </c>
      <c r="R225" s="703" t="str">
        <f t="shared" si="260"/>
        <v>N</v>
      </c>
      <c r="S225" s="703" t="str">
        <f t="shared" si="261"/>
        <v>N</v>
      </c>
      <c r="T225" s="703" t="str">
        <f t="shared" si="262"/>
        <v>N</v>
      </c>
      <c r="U225" s="703" t="str">
        <f t="shared" si="263"/>
        <v>N</v>
      </c>
      <c r="V225" s="703" t="str">
        <f t="shared" si="264"/>
        <v>N</v>
      </c>
      <c r="W225" s="703" t="str">
        <f t="shared" si="265"/>
        <v>N</v>
      </c>
      <c r="X225" s="703" t="str">
        <f t="shared" si="266"/>
        <v>N</v>
      </c>
      <c r="Y225" s="703" t="str">
        <f t="shared" si="267"/>
        <v>N</v>
      </c>
      <c r="Z225" s="703" t="str">
        <f t="shared" si="268"/>
        <v>N</v>
      </c>
      <c r="AA225" s="703" t="str">
        <f t="shared" si="269"/>
        <v>N</v>
      </c>
      <c r="AB225" s="703" t="str">
        <f t="shared" si="270"/>
        <v>N</v>
      </c>
      <c r="AC225" s="703" t="str">
        <f t="shared" si="270"/>
        <v>N</v>
      </c>
      <c r="AD225" s="804"/>
      <c r="AE225" s="804"/>
      <c r="AF225" s="791"/>
      <c r="AG225" s="798"/>
      <c r="AH225" s="928"/>
      <c r="AI225" s="732"/>
      <c r="AJ225" s="733"/>
    </row>
    <row r="226" spans="1:52" hidden="1" outlineLevel="1" x14ac:dyDescent="0.25">
      <c r="A226" s="159"/>
      <c r="B226" s="1359"/>
      <c r="C226" s="667" t="str">
        <f>'Optimalizačné opatrenia'!$B$4</f>
        <v>Zjednotenie</v>
      </c>
      <c r="D226" s="718" t="s">
        <v>530</v>
      </c>
      <c r="E226" s="703" t="s">
        <v>530</v>
      </c>
      <c r="F226" s="703" t="s">
        <v>530</v>
      </c>
      <c r="G226" s="703" t="str">
        <f t="shared" si="256"/>
        <v>A</v>
      </c>
      <c r="H226" s="703"/>
      <c r="I226" s="703"/>
      <c r="J226" s="703"/>
      <c r="K226" s="703"/>
      <c r="L226" s="703" t="str">
        <f t="shared" si="257"/>
        <v>A</v>
      </c>
      <c r="M226" s="703" t="str">
        <f t="shared" si="257"/>
        <v>A</v>
      </c>
      <c r="N226" s="703" t="str">
        <f t="shared" si="258"/>
        <v>A</v>
      </c>
      <c r="O226" s="703"/>
      <c r="P226" s="703" t="str">
        <f t="shared" si="259"/>
        <v>A</v>
      </c>
      <c r="Q226" s="703" t="str">
        <f t="shared" si="259"/>
        <v>A</v>
      </c>
      <c r="R226" s="703" t="str">
        <f t="shared" si="260"/>
        <v>A</v>
      </c>
      <c r="S226" s="703" t="str">
        <f t="shared" si="261"/>
        <v>A</v>
      </c>
      <c r="T226" s="703" t="str">
        <f t="shared" si="262"/>
        <v>A</v>
      </c>
      <c r="U226" s="703" t="str">
        <f t="shared" si="263"/>
        <v>A</v>
      </c>
      <c r="V226" s="703" t="str">
        <f t="shared" si="264"/>
        <v>A</v>
      </c>
      <c r="W226" s="703" t="str">
        <f t="shared" si="265"/>
        <v>A</v>
      </c>
      <c r="X226" s="703" t="str">
        <f t="shared" si="266"/>
        <v>A</v>
      </c>
      <c r="Y226" s="703" t="str">
        <f t="shared" si="267"/>
        <v>A</v>
      </c>
      <c r="Z226" s="703" t="str">
        <f t="shared" si="268"/>
        <v>A</v>
      </c>
      <c r="AA226" s="703" t="str">
        <f t="shared" si="269"/>
        <v>A</v>
      </c>
      <c r="AB226" s="703" t="str">
        <f t="shared" si="270"/>
        <v>A</v>
      </c>
      <c r="AC226" s="703" t="str">
        <f t="shared" si="270"/>
        <v>A</v>
      </c>
      <c r="AD226" s="804"/>
      <c r="AE226" s="804"/>
      <c r="AF226" s="791"/>
      <c r="AG226" s="798"/>
      <c r="AH226" s="928"/>
      <c r="AI226" s="732"/>
      <c r="AJ226" s="733"/>
    </row>
    <row r="227" spans="1:52" hidden="1" outlineLevel="1" x14ac:dyDescent="0.25">
      <c r="A227" s="159"/>
      <c r="B227" s="1359"/>
      <c r="C227" s="667" t="str">
        <f>'Optimalizačné opatrenia'!$B$5</f>
        <v>Centralizácia</v>
      </c>
      <c r="D227" s="718" t="s">
        <v>530</v>
      </c>
      <c r="E227" s="703" t="s">
        <v>530</v>
      </c>
      <c r="F227" s="703" t="s">
        <v>530</v>
      </c>
      <c r="G227" s="703" t="str">
        <f t="shared" si="256"/>
        <v>A</v>
      </c>
      <c r="H227" s="703"/>
      <c r="I227" s="703"/>
      <c r="J227" s="703"/>
      <c r="K227" s="703"/>
      <c r="L227" s="703" t="str">
        <f t="shared" si="257"/>
        <v>A</v>
      </c>
      <c r="M227" s="703" t="str">
        <f t="shared" si="257"/>
        <v>A</v>
      </c>
      <c r="N227" s="703" t="str">
        <f t="shared" si="258"/>
        <v>A</v>
      </c>
      <c r="O227" s="703"/>
      <c r="P227" s="703" t="str">
        <f t="shared" si="259"/>
        <v>A</v>
      </c>
      <c r="Q227" s="703" t="str">
        <f t="shared" si="259"/>
        <v>A</v>
      </c>
      <c r="R227" s="703" t="str">
        <f t="shared" si="260"/>
        <v>A</v>
      </c>
      <c r="S227" s="703" t="str">
        <f t="shared" si="261"/>
        <v>A</v>
      </c>
      <c r="T227" s="703" t="str">
        <f t="shared" si="262"/>
        <v>A</v>
      </c>
      <c r="U227" s="703" t="str">
        <f t="shared" si="263"/>
        <v>A</v>
      </c>
      <c r="V227" s="703" t="str">
        <f t="shared" si="264"/>
        <v>A</v>
      </c>
      <c r="W227" s="703" t="str">
        <f t="shared" si="265"/>
        <v>A</v>
      </c>
      <c r="X227" s="703" t="str">
        <f t="shared" si="266"/>
        <v>A</v>
      </c>
      <c r="Y227" s="703" t="str">
        <f t="shared" si="267"/>
        <v>A</v>
      </c>
      <c r="Z227" s="703" t="str">
        <f t="shared" si="268"/>
        <v>A</v>
      </c>
      <c r="AA227" s="703" t="str">
        <f t="shared" si="269"/>
        <v>A</v>
      </c>
      <c r="AB227" s="703" t="str">
        <f t="shared" si="270"/>
        <v>A</v>
      </c>
      <c r="AC227" s="703" t="str">
        <f t="shared" si="270"/>
        <v>A</v>
      </c>
      <c r="AD227" s="804"/>
      <c r="AE227" s="804"/>
      <c r="AF227" s="791"/>
      <c r="AG227" s="798"/>
      <c r="AH227" s="928"/>
      <c r="AI227" s="732"/>
      <c r="AJ227" s="733"/>
    </row>
    <row r="228" spans="1:52" hidden="1" outlineLevel="1" x14ac:dyDescent="0.25">
      <c r="A228" s="159"/>
      <c r="B228" s="1359"/>
      <c r="C228" s="667" t="str">
        <f>'Optimalizačné opatrenia'!$B$6</f>
        <v>Elektronizácia</v>
      </c>
      <c r="D228" s="718" t="s">
        <v>530</v>
      </c>
      <c r="E228" s="703" t="s">
        <v>530</v>
      </c>
      <c r="F228" s="703" t="s">
        <v>530</v>
      </c>
      <c r="G228" s="703" t="str">
        <f t="shared" si="256"/>
        <v>A</v>
      </c>
      <c r="H228" s="703"/>
      <c r="I228" s="703"/>
      <c r="J228" s="703"/>
      <c r="K228" s="703"/>
      <c r="L228" s="703" t="str">
        <f t="shared" si="257"/>
        <v>A</v>
      </c>
      <c r="M228" s="703" t="str">
        <f t="shared" si="257"/>
        <v>A</v>
      </c>
      <c r="N228" s="703" t="str">
        <f t="shared" si="258"/>
        <v>A</v>
      </c>
      <c r="O228" s="703"/>
      <c r="P228" s="703" t="str">
        <f t="shared" si="259"/>
        <v>A</v>
      </c>
      <c r="Q228" s="703" t="str">
        <f t="shared" si="259"/>
        <v>A</v>
      </c>
      <c r="R228" s="703" t="str">
        <f t="shared" si="260"/>
        <v>A</v>
      </c>
      <c r="S228" s="703" t="str">
        <f t="shared" si="261"/>
        <v>A</v>
      </c>
      <c r="T228" s="703" t="str">
        <f t="shared" si="262"/>
        <v>A</v>
      </c>
      <c r="U228" s="703" t="str">
        <f t="shared" si="263"/>
        <v>A</v>
      </c>
      <c r="V228" s="703" t="str">
        <f t="shared" si="264"/>
        <v>A</v>
      </c>
      <c r="W228" s="703" t="str">
        <f t="shared" si="265"/>
        <v>A</v>
      </c>
      <c r="X228" s="703" t="str">
        <f t="shared" si="266"/>
        <v>A</v>
      </c>
      <c r="Y228" s="703" t="str">
        <f t="shared" si="267"/>
        <v>A</v>
      </c>
      <c r="Z228" s="703" t="str">
        <f t="shared" si="268"/>
        <v>A</v>
      </c>
      <c r="AA228" s="703" t="str">
        <f t="shared" si="269"/>
        <v>A</v>
      </c>
      <c r="AB228" s="703" t="str">
        <f t="shared" si="270"/>
        <v>A</v>
      </c>
      <c r="AC228" s="703" t="str">
        <f t="shared" si="270"/>
        <v>A</v>
      </c>
      <c r="AD228" s="804"/>
      <c r="AE228" s="804"/>
      <c r="AF228" s="791"/>
      <c r="AG228" s="798"/>
      <c r="AH228" s="928"/>
      <c r="AI228" s="732"/>
      <c r="AJ228" s="733"/>
    </row>
    <row r="229" spans="1:52" hidden="1" outlineLevel="1" x14ac:dyDescent="0.25">
      <c r="A229" s="159"/>
      <c r="B229" s="1359"/>
      <c r="C229" s="667" t="str">
        <f>'Optimalizačné opatrenia'!$B$7</f>
        <v>Automatizácia</v>
      </c>
      <c r="D229" s="718" t="s">
        <v>530</v>
      </c>
      <c r="E229" s="703" t="s">
        <v>530</v>
      </c>
      <c r="F229" s="703" t="s">
        <v>530</v>
      </c>
      <c r="G229" s="703" t="str">
        <f t="shared" si="256"/>
        <v>A</v>
      </c>
      <c r="H229" s="703"/>
      <c r="I229" s="703"/>
      <c r="J229" s="703"/>
      <c r="K229" s="703"/>
      <c r="L229" s="703" t="str">
        <f t="shared" si="257"/>
        <v>A</v>
      </c>
      <c r="M229" s="703" t="str">
        <f t="shared" si="257"/>
        <v>A</v>
      </c>
      <c r="N229" s="703" t="str">
        <f t="shared" si="258"/>
        <v>A</v>
      </c>
      <c r="O229" s="703"/>
      <c r="P229" s="703" t="str">
        <f t="shared" si="259"/>
        <v>A</v>
      </c>
      <c r="Q229" s="703" t="str">
        <f t="shared" si="259"/>
        <v>A</v>
      </c>
      <c r="R229" s="703" t="str">
        <f t="shared" si="260"/>
        <v>A</v>
      </c>
      <c r="S229" s="703" t="str">
        <f t="shared" si="261"/>
        <v>A</v>
      </c>
      <c r="T229" s="703" t="str">
        <f t="shared" si="262"/>
        <v>A</v>
      </c>
      <c r="U229" s="703" t="str">
        <f t="shared" si="263"/>
        <v>A</v>
      </c>
      <c r="V229" s="703" t="str">
        <f t="shared" si="264"/>
        <v>A</v>
      </c>
      <c r="W229" s="703" t="str">
        <f t="shared" si="265"/>
        <v>A</v>
      </c>
      <c r="X229" s="703" t="str">
        <f t="shared" si="266"/>
        <v>A</v>
      </c>
      <c r="Y229" s="703" t="str">
        <f t="shared" si="267"/>
        <v>A</v>
      </c>
      <c r="Z229" s="703" t="str">
        <f t="shared" si="268"/>
        <v>A</v>
      </c>
      <c r="AA229" s="703" t="str">
        <f t="shared" si="269"/>
        <v>A</v>
      </c>
      <c r="AB229" s="703" t="str">
        <f t="shared" si="270"/>
        <v>A</v>
      </c>
      <c r="AC229" s="703" t="str">
        <f t="shared" si="270"/>
        <v>A</v>
      </c>
      <c r="AD229" s="804"/>
      <c r="AE229" s="804"/>
      <c r="AF229" s="791"/>
      <c r="AG229" s="798"/>
      <c r="AH229" s="928"/>
      <c r="AI229" s="732"/>
      <c r="AJ229" s="733"/>
    </row>
    <row r="230" spans="1:52" hidden="1" outlineLevel="1" x14ac:dyDescent="0.25">
      <c r="A230" s="159"/>
      <c r="B230" s="1359"/>
      <c r="C230" s="667" t="str">
        <f>'Optimalizačné opatrenia'!$B$8</f>
        <v>Bezpečnosť</v>
      </c>
      <c r="D230" s="718" t="s">
        <v>530</v>
      </c>
      <c r="E230" s="703" t="s">
        <v>530</v>
      </c>
      <c r="F230" s="703" t="s">
        <v>530</v>
      </c>
      <c r="G230" s="703" t="str">
        <f t="shared" si="256"/>
        <v>A</v>
      </c>
      <c r="H230" s="703"/>
      <c r="I230" s="703"/>
      <c r="J230" s="703"/>
      <c r="K230" s="703"/>
      <c r="L230" s="703" t="str">
        <f t="shared" si="257"/>
        <v>A</v>
      </c>
      <c r="M230" s="703" t="str">
        <f t="shared" si="257"/>
        <v>A</v>
      </c>
      <c r="N230" s="703" t="str">
        <f t="shared" si="258"/>
        <v>A</v>
      </c>
      <c r="O230" s="703"/>
      <c r="P230" s="703" t="str">
        <f t="shared" si="259"/>
        <v>A</v>
      </c>
      <c r="Q230" s="703" t="str">
        <f t="shared" si="259"/>
        <v>A</v>
      </c>
      <c r="R230" s="703" t="str">
        <f t="shared" si="260"/>
        <v>A</v>
      </c>
      <c r="S230" s="703" t="str">
        <f t="shared" si="261"/>
        <v>A</v>
      </c>
      <c r="T230" s="703" t="str">
        <f t="shared" si="262"/>
        <v>A</v>
      </c>
      <c r="U230" s="703" t="str">
        <f t="shared" si="263"/>
        <v>A</v>
      </c>
      <c r="V230" s="703" t="str">
        <f t="shared" si="264"/>
        <v>A</v>
      </c>
      <c r="W230" s="703" t="str">
        <f t="shared" si="265"/>
        <v>A</v>
      </c>
      <c r="X230" s="703" t="str">
        <f t="shared" si="266"/>
        <v>A</v>
      </c>
      <c r="Y230" s="703" t="str">
        <f t="shared" si="267"/>
        <v>A</v>
      </c>
      <c r="Z230" s="703" t="str">
        <f t="shared" si="268"/>
        <v>A</v>
      </c>
      <c r="AA230" s="703" t="str">
        <f t="shared" si="269"/>
        <v>A</v>
      </c>
      <c r="AB230" s="703" t="str">
        <f t="shared" si="270"/>
        <v>A</v>
      </c>
      <c r="AC230" s="703" t="str">
        <f t="shared" si="270"/>
        <v>A</v>
      </c>
      <c r="AD230" s="804"/>
      <c r="AE230" s="804"/>
      <c r="AF230" s="791"/>
      <c r="AG230" s="798"/>
      <c r="AH230" s="928"/>
      <c r="AI230" s="732"/>
      <c r="AJ230" s="733"/>
    </row>
    <row r="231" spans="1:52" hidden="1" outlineLevel="1" x14ac:dyDescent="0.25">
      <c r="A231" s="159"/>
      <c r="B231" s="1359"/>
      <c r="C231" s="667" t="str">
        <f>'Optimalizačné opatrenia'!$B$9</f>
        <v>Auditovateľnosť</v>
      </c>
      <c r="D231" s="718" t="s">
        <v>530</v>
      </c>
      <c r="E231" s="703" t="s">
        <v>530</v>
      </c>
      <c r="F231" s="703" t="s">
        <v>530</v>
      </c>
      <c r="G231" s="703" t="str">
        <f t="shared" si="256"/>
        <v>A</v>
      </c>
      <c r="H231" s="703"/>
      <c r="I231" s="703"/>
      <c r="J231" s="703"/>
      <c r="K231" s="703"/>
      <c r="L231" s="703" t="str">
        <f t="shared" si="257"/>
        <v>A</v>
      </c>
      <c r="M231" s="703" t="str">
        <f t="shared" si="257"/>
        <v>A</v>
      </c>
      <c r="N231" s="703" t="str">
        <f t="shared" si="258"/>
        <v>A</v>
      </c>
      <c r="O231" s="703"/>
      <c r="P231" s="703" t="str">
        <f t="shared" si="259"/>
        <v>A</v>
      </c>
      <c r="Q231" s="703" t="str">
        <f t="shared" si="259"/>
        <v>A</v>
      </c>
      <c r="R231" s="703" t="str">
        <f t="shared" si="260"/>
        <v>N</v>
      </c>
      <c r="S231" s="703" t="str">
        <f t="shared" si="261"/>
        <v>N</v>
      </c>
      <c r="T231" s="703" t="str">
        <f t="shared" si="262"/>
        <v>N</v>
      </c>
      <c r="U231" s="703" t="str">
        <f t="shared" si="263"/>
        <v>A</v>
      </c>
      <c r="V231" s="703" t="str">
        <f t="shared" si="264"/>
        <v>A</v>
      </c>
      <c r="W231" s="703" t="str">
        <f t="shared" si="265"/>
        <v>A</v>
      </c>
      <c r="X231" s="703" t="str">
        <f t="shared" si="266"/>
        <v>A</v>
      </c>
      <c r="Y231" s="703" t="str">
        <f t="shared" si="267"/>
        <v>N</v>
      </c>
      <c r="Z231" s="703" t="str">
        <f t="shared" si="268"/>
        <v>N</v>
      </c>
      <c r="AA231" s="703" t="str">
        <f t="shared" si="269"/>
        <v>A</v>
      </c>
      <c r="AB231" s="703" t="str">
        <f t="shared" si="270"/>
        <v>N</v>
      </c>
      <c r="AC231" s="703" t="str">
        <f t="shared" si="270"/>
        <v>N</v>
      </c>
      <c r="AD231" s="804"/>
      <c r="AE231" s="804"/>
      <c r="AF231" s="791"/>
      <c r="AG231" s="798"/>
      <c r="AH231" s="928"/>
      <c r="AI231" s="732"/>
      <c r="AJ231" s="733"/>
    </row>
    <row r="232" spans="1:52" hidden="1" outlineLevel="1" x14ac:dyDescent="0.25">
      <c r="A232" s="159"/>
      <c r="B232" s="1359"/>
      <c r="C232" s="667" t="str">
        <f>'Optimalizačné opatrenia'!$B$10</f>
        <v>Transparentnosť</v>
      </c>
      <c r="D232" s="718" t="s">
        <v>530</v>
      </c>
      <c r="E232" s="703" t="s">
        <v>530</v>
      </c>
      <c r="F232" s="703" t="s">
        <v>530</v>
      </c>
      <c r="G232" s="703" t="str">
        <f t="shared" si="256"/>
        <v>N</v>
      </c>
      <c r="H232" s="703"/>
      <c r="I232" s="703"/>
      <c r="J232" s="703"/>
      <c r="K232" s="703"/>
      <c r="L232" s="703" t="str">
        <f t="shared" si="257"/>
        <v>N</v>
      </c>
      <c r="M232" s="703" t="str">
        <f t="shared" si="257"/>
        <v>N</v>
      </c>
      <c r="N232" s="703" t="str">
        <f t="shared" si="258"/>
        <v>N</v>
      </c>
      <c r="O232" s="703"/>
      <c r="P232" s="703" t="str">
        <f t="shared" si="259"/>
        <v>A</v>
      </c>
      <c r="Q232" s="703" t="str">
        <f t="shared" si="259"/>
        <v>N</v>
      </c>
      <c r="R232" s="703" t="str">
        <f t="shared" si="260"/>
        <v>N</v>
      </c>
      <c r="S232" s="703" t="str">
        <f t="shared" si="261"/>
        <v>N</v>
      </c>
      <c r="T232" s="703" t="str">
        <f t="shared" si="262"/>
        <v>N</v>
      </c>
      <c r="U232" s="703" t="str">
        <f t="shared" si="263"/>
        <v>N</v>
      </c>
      <c r="V232" s="703" t="str">
        <f t="shared" si="264"/>
        <v>A</v>
      </c>
      <c r="W232" s="703" t="str">
        <f t="shared" si="265"/>
        <v>N</v>
      </c>
      <c r="X232" s="703" t="str">
        <f t="shared" si="266"/>
        <v>N</v>
      </c>
      <c r="Y232" s="703" t="str">
        <f t="shared" si="267"/>
        <v>N</v>
      </c>
      <c r="Z232" s="703" t="str">
        <f t="shared" si="268"/>
        <v>N</v>
      </c>
      <c r="AA232" s="703" t="str">
        <f t="shared" si="269"/>
        <v>A</v>
      </c>
      <c r="AB232" s="703" t="str">
        <f t="shared" si="270"/>
        <v>N</v>
      </c>
      <c r="AC232" s="703" t="str">
        <f t="shared" si="270"/>
        <v>N</v>
      </c>
      <c r="AD232" s="804"/>
      <c r="AE232" s="804"/>
      <c r="AF232" s="791"/>
      <c r="AG232" s="798"/>
      <c r="AH232" s="928"/>
      <c r="AI232" s="732"/>
      <c r="AJ232" s="733"/>
    </row>
    <row r="233" spans="1:52" hidden="1" outlineLevel="1" x14ac:dyDescent="0.25">
      <c r="A233" s="159"/>
      <c r="B233" s="1359"/>
      <c r="C233" s="667" t="str">
        <f>'Optimalizačné opatrenia'!$B$11</f>
        <v>Analyzovatelnosť</v>
      </c>
      <c r="D233" s="718" t="s">
        <v>530</v>
      </c>
      <c r="E233" s="703" t="s">
        <v>530</v>
      </c>
      <c r="F233" s="703" t="s">
        <v>530</v>
      </c>
      <c r="G233" s="703" t="str">
        <f t="shared" si="256"/>
        <v>A</v>
      </c>
      <c r="H233" s="703"/>
      <c r="I233" s="703"/>
      <c r="J233" s="703"/>
      <c r="K233" s="703"/>
      <c r="L233" s="703" t="str">
        <f t="shared" si="257"/>
        <v>A</v>
      </c>
      <c r="M233" s="703" t="str">
        <f t="shared" si="257"/>
        <v>A</v>
      </c>
      <c r="N233" s="703" t="str">
        <f t="shared" si="258"/>
        <v>A</v>
      </c>
      <c r="O233" s="703"/>
      <c r="P233" s="703" t="str">
        <f t="shared" si="259"/>
        <v>A</v>
      </c>
      <c r="Q233" s="703" t="str">
        <f t="shared" si="259"/>
        <v>A</v>
      </c>
      <c r="R233" s="703" t="str">
        <f t="shared" si="260"/>
        <v>N</v>
      </c>
      <c r="S233" s="703" t="str">
        <f t="shared" si="261"/>
        <v>N</v>
      </c>
      <c r="T233" s="703" t="str">
        <f t="shared" si="262"/>
        <v>N</v>
      </c>
      <c r="U233" s="703" t="str">
        <f t="shared" si="263"/>
        <v>A</v>
      </c>
      <c r="V233" s="703" t="str">
        <f t="shared" si="264"/>
        <v>A</v>
      </c>
      <c r="W233" s="703" t="str">
        <f t="shared" si="265"/>
        <v>A</v>
      </c>
      <c r="X233" s="703" t="str">
        <f t="shared" si="266"/>
        <v>A</v>
      </c>
      <c r="Y233" s="703" t="str">
        <f t="shared" si="267"/>
        <v>N</v>
      </c>
      <c r="Z233" s="703" t="str">
        <f t="shared" si="268"/>
        <v>N</v>
      </c>
      <c r="AA233" s="703" t="str">
        <f t="shared" si="269"/>
        <v>A</v>
      </c>
      <c r="AB233" s="703" t="str">
        <f t="shared" si="270"/>
        <v>N</v>
      </c>
      <c r="AC233" s="703" t="str">
        <f t="shared" si="270"/>
        <v>N</v>
      </c>
      <c r="AD233" s="804"/>
      <c r="AE233" s="804"/>
      <c r="AF233" s="791"/>
      <c r="AG233" s="798"/>
      <c r="AH233" s="928"/>
      <c r="AI233" s="732"/>
      <c r="AJ233" s="733"/>
    </row>
    <row r="234" spans="1:52" hidden="1" outlineLevel="1" x14ac:dyDescent="0.25">
      <c r="A234" s="159"/>
      <c r="B234" s="1359"/>
      <c r="C234" s="667" t="str">
        <f>'Optimalizačné opatrenia'!$B$12</f>
        <v>Integrácia</v>
      </c>
      <c r="D234" s="718" t="s">
        <v>530</v>
      </c>
      <c r="E234" s="703" t="s">
        <v>530</v>
      </c>
      <c r="F234" s="703" t="s">
        <v>530</v>
      </c>
      <c r="G234" s="703" t="str">
        <f t="shared" si="256"/>
        <v>A</v>
      </c>
      <c r="H234" s="703"/>
      <c r="I234" s="703"/>
      <c r="J234" s="703"/>
      <c r="K234" s="703"/>
      <c r="L234" s="703" t="str">
        <f t="shared" si="257"/>
        <v>A</v>
      </c>
      <c r="M234" s="703" t="str">
        <f t="shared" si="257"/>
        <v>A</v>
      </c>
      <c r="N234" s="703" t="str">
        <f t="shared" si="258"/>
        <v>A</v>
      </c>
      <c r="O234" s="703"/>
      <c r="P234" s="703" t="str">
        <f t="shared" si="259"/>
        <v>A</v>
      </c>
      <c r="Q234" s="703" t="str">
        <f t="shared" si="259"/>
        <v>A</v>
      </c>
      <c r="R234" s="703" t="str">
        <f t="shared" si="260"/>
        <v>A</v>
      </c>
      <c r="S234" s="703" t="str">
        <f t="shared" si="261"/>
        <v>A</v>
      </c>
      <c r="T234" s="703" t="str">
        <f t="shared" si="262"/>
        <v>A</v>
      </c>
      <c r="U234" s="703" t="str">
        <f t="shared" si="263"/>
        <v>A</v>
      </c>
      <c r="V234" s="703" t="str">
        <f t="shared" si="264"/>
        <v>A</v>
      </c>
      <c r="W234" s="703" t="str">
        <f t="shared" si="265"/>
        <v>A</v>
      </c>
      <c r="X234" s="703" t="str">
        <f t="shared" si="266"/>
        <v>A</v>
      </c>
      <c r="Y234" s="703" t="str">
        <f t="shared" si="267"/>
        <v>A</v>
      </c>
      <c r="Z234" s="703" t="str">
        <f t="shared" si="268"/>
        <v>A</v>
      </c>
      <c r="AA234" s="703" t="str">
        <f t="shared" si="269"/>
        <v>A</v>
      </c>
      <c r="AB234" s="703" t="str">
        <f t="shared" si="270"/>
        <v>A</v>
      </c>
      <c r="AC234" s="703" t="str">
        <f t="shared" si="270"/>
        <v>A</v>
      </c>
      <c r="AD234" s="804"/>
      <c r="AE234" s="804"/>
      <c r="AF234" s="791"/>
      <c r="AG234" s="798"/>
      <c r="AH234" s="928"/>
      <c r="AI234" s="732"/>
      <c r="AJ234" s="733"/>
    </row>
    <row r="235" spans="1:52" hidden="1" outlineLevel="1" x14ac:dyDescent="0.25">
      <c r="A235" s="159"/>
      <c r="B235" s="1359"/>
      <c r="C235" s="672" t="str">
        <f>'Optimalizačné opatrenia'!$B$13</f>
        <v>Proaktivita</v>
      </c>
      <c r="D235" s="718" t="s">
        <v>530</v>
      </c>
      <c r="E235" s="703" t="s">
        <v>530</v>
      </c>
      <c r="F235" s="703" t="s">
        <v>530</v>
      </c>
      <c r="G235" s="703" t="str">
        <f t="shared" si="256"/>
        <v>N</v>
      </c>
      <c r="H235" s="703"/>
      <c r="I235" s="703"/>
      <c r="J235" s="703"/>
      <c r="K235" s="703"/>
      <c r="L235" s="703" t="str">
        <f t="shared" si="257"/>
        <v>A</v>
      </c>
      <c r="M235" s="703" t="str">
        <f t="shared" si="257"/>
        <v>N</v>
      </c>
      <c r="N235" s="703" t="str">
        <f t="shared" si="258"/>
        <v>N</v>
      </c>
      <c r="O235" s="703"/>
      <c r="P235" s="703" t="str">
        <f t="shared" si="259"/>
        <v>N</v>
      </c>
      <c r="Q235" s="703" t="str">
        <f t="shared" si="259"/>
        <v>N</v>
      </c>
      <c r="R235" s="703" t="str">
        <f t="shared" si="260"/>
        <v>A</v>
      </c>
      <c r="S235" s="703" t="str">
        <f t="shared" si="261"/>
        <v>A</v>
      </c>
      <c r="T235" s="703" t="str">
        <f t="shared" si="262"/>
        <v>A</v>
      </c>
      <c r="U235" s="703" t="str">
        <f t="shared" si="263"/>
        <v>N</v>
      </c>
      <c r="V235" s="703" t="str">
        <f t="shared" si="264"/>
        <v>A</v>
      </c>
      <c r="W235" s="703" t="str">
        <f t="shared" si="265"/>
        <v>N</v>
      </c>
      <c r="X235" s="703" t="str">
        <f t="shared" si="266"/>
        <v>N</v>
      </c>
      <c r="Y235" s="703" t="str">
        <f t="shared" si="267"/>
        <v>A</v>
      </c>
      <c r="Z235" s="703" t="str">
        <f t="shared" si="268"/>
        <v>A</v>
      </c>
      <c r="AA235" s="703" t="str">
        <f t="shared" si="269"/>
        <v>A</v>
      </c>
      <c r="AB235" s="703" t="str">
        <f t="shared" si="270"/>
        <v>A</v>
      </c>
      <c r="AC235" s="703" t="str">
        <f t="shared" si="270"/>
        <v>A</v>
      </c>
      <c r="AD235" s="804"/>
      <c r="AE235" s="804"/>
      <c r="AF235" s="791"/>
      <c r="AG235" s="798"/>
      <c r="AH235" s="928"/>
      <c r="AI235" s="732"/>
      <c r="AJ235" s="733"/>
    </row>
    <row r="236" spans="1:52" hidden="1" outlineLevel="1" x14ac:dyDescent="0.25">
      <c r="A236" s="159"/>
      <c r="B236" s="720"/>
      <c r="C236" s="722" t="s">
        <v>538</v>
      </c>
      <c r="D236" s="723">
        <v>0</v>
      </c>
      <c r="E236" s="721">
        <v>0</v>
      </c>
      <c r="F236" s="724">
        <v>0</v>
      </c>
      <c r="G236" s="724">
        <f t="shared" si="256"/>
        <v>0.3</v>
      </c>
      <c r="H236" s="724"/>
      <c r="I236" s="724"/>
      <c r="J236" s="724"/>
      <c r="K236" s="724"/>
      <c r="L236" s="724">
        <f t="shared" si="257"/>
        <v>0.4</v>
      </c>
      <c r="M236" s="724">
        <f t="shared" si="257"/>
        <v>0.3</v>
      </c>
      <c r="N236" s="724">
        <f t="shared" si="258"/>
        <v>0.3</v>
      </c>
      <c r="O236" s="724"/>
      <c r="P236" s="724">
        <f t="shared" si="259"/>
        <v>0.45</v>
      </c>
      <c r="Q236" s="724">
        <f t="shared" si="259"/>
        <v>0.3</v>
      </c>
      <c r="R236" s="724">
        <f t="shared" si="260"/>
        <v>0.25</v>
      </c>
      <c r="S236" s="724">
        <f t="shared" si="261"/>
        <v>0.25</v>
      </c>
      <c r="T236" s="724">
        <f t="shared" si="262"/>
        <v>0.25</v>
      </c>
      <c r="U236" s="724">
        <f t="shared" si="263"/>
        <v>0.3</v>
      </c>
      <c r="V236" s="724">
        <f t="shared" si="264"/>
        <v>0.5</v>
      </c>
      <c r="W236" s="724">
        <f t="shared" si="265"/>
        <v>0.3</v>
      </c>
      <c r="X236" s="724">
        <f t="shared" si="266"/>
        <v>0.3</v>
      </c>
      <c r="Y236" s="724">
        <f t="shared" si="267"/>
        <v>0.25</v>
      </c>
      <c r="Z236" s="724">
        <f t="shared" si="268"/>
        <v>0.25</v>
      </c>
      <c r="AA236" s="724">
        <f t="shared" si="269"/>
        <v>0.5</v>
      </c>
      <c r="AB236" s="724">
        <f t="shared" si="270"/>
        <v>0.25</v>
      </c>
      <c r="AC236" s="724">
        <f t="shared" si="270"/>
        <v>0.25</v>
      </c>
      <c r="AD236" s="805"/>
      <c r="AE236" s="805"/>
      <c r="AF236" s="792"/>
      <c r="AG236" s="799"/>
      <c r="AH236" s="929"/>
      <c r="AI236" s="735"/>
      <c r="AJ236" s="736"/>
    </row>
    <row r="237" spans="1:52" ht="69.599999999999994" customHeight="1" collapsed="1" x14ac:dyDescent="0.25">
      <c r="A237" s="159">
        <f ca="1">OFFSET(A237,-14,0)+1</f>
        <v>17</v>
      </c>
      <c r="B237" s="234" t="str">
        <f ca="1">'Procesy - AS IS'!B59</f>
        <v>Meranie č. 17</v>
      </c>
      <c r="C237" s="650" t="str">
        <f>'Procesy - AS IS'!C59</f>
        <v>BIOPRODUKT Dunajský Klátov, s.r.o., Dunajský Klátov, Kontrola prevádzkovateľov zariadení na zhodnocovanie odpadov, 3572/2018
8182/2018</v>
      </c>
      <c r="D237" s="726">
        <f>-'Procesy - AS IS'!D61*D250</f>
        <v>0</v>
      </c>
      <c r="E237" s="653">
        <f>-'Procesy - AS IS'!E61*E250</f>
        <v>0</v>
      </c>
      <c r="F237" s="653">
        <f>-'Procesy - AS IS'!F61*F250</f>
        <v>0</v>
      </c>
      <c r="G237" s="653">
        <f>-'Procesy - AS IS'!G61*G250</f>
        <v>-0.89999999999999991</v>
      </c>
      <c r="H237" s="653" t="s">
        <v>555</v>
      </c>
      <c r="I237" s="653" t="s">
        <v>555</v>
      </c>
      <c r="J237" s="653" t="s">
        <v>555</v>
      </c>
      <c r="K237" s="653" t="s">
        <v>555</v>
      </c>
      <c r="L237" s="653">
        <f>-'Procesy - AS IS'!L61*L250</f>
        <v>0</v>
      </c>
      <c r="M237" s="653">
        <f>-'Procesy - AS IS'!M61*M250</f>
        <v>-0.44999999999999996</v>
      </c>
      <c r="N237" s="653">
        <f>-'Procesy - AS IS'!N61*N250</f>
        <v>0</v>
      </c>
      <c r="O237" s="653" t="s">
        <v>559</v>
      </c>
      <c r="P237" s="653">
        <f>-'Procesy - AS IS'!P61*P250</f>
        <v>-0.9</v>
      </c>
      <c r="Q237" s="653">
        <f>-'Procesy - AS IS'!Q61*Q250</f>
        <v>0</v>
      </c>
      <c r="R237" s="653">
        <f>-'Procesy - AS IS'!R61*R250</f>
        <v>-1.1658959537572255</v>
      </c>
      <c r="S237" s="653">
        <f>-'Procesy - AS IS'!S61*S250</f>
        <v>-2.3027095375722544</v>
      </c>
      <c r="T237" s="653">
        <f>-'Procesy - AS IS'!T61*T250</f>
        <v>0</v>
      </c>
      <c r="U237" s="653">
        <f>-'Procesy - AS IS'!U61*U250</f>
        <v>-0.21255780346820807</v>
      </c>
      <c r="V237" s="653">
        <f>-'Procesy - AS IS'!V61*V250</f>
        <v>-0.25</v>
      </c>
      <c r="W237" s="653">
        <f>-'Procesy - AS IS'!W61*W250</f>
        <v>-7.8749999999999987E-2</v>
      </c>
      <c r="X237" s="653">
        <f>-'Procesy - AS IS'!X61*X250</f>
        <v>0</v>
      </c>
      <c r="Y237" s="653">
        <f>-'Procesy - AS IS'!Y61*Y250</f>
        <v>-0.7</v>
      </c>
      <c r="Z237" s="653">
        <f>-'Procesy - AS IS'!Z61*Z250</f>
        <v>-6.2500000000000003E-3</v>
      </c>
      <c r="AA237" s="653">
        <f>-'Procesy - AS IS'!AA61*AA250</f>
        <v>-2.5000000000000001E-2</v>
      </c>
      <c r="AB237" s="653">
        <f>-'Procesy - AS IS'!AB61*AB250</f>
        <v>-0.1</v>
      </c>
      <c r="AC237" s="653">
        <f>-'Procesy - AS IS'!AC61*AC250</f>
        <v>-0.25</v>
      </c>
      <c r="AD237" s="754"/>
      <c r="AE237" s="754">
        <f>SUM(D237:AC237)</f>
        <v>-7.3411632947976884</v>
      </c>
      <c r="AF237" s="728">
        <f>AE237/'Procesy - AS IS'!AD61</f>
        <v>-0.28105043609114072</v>
      </c>
      <c r="AG237" s="797">
        <f>'Procesy - AS IS'!AG61/(1+$AF237)-'Procesy - AS IS'!AG61</f>
        <v>15.636726146023193</v>
      </c>
      <c r="AH237" s="927">
        <f>'Procesy - AS IS'!AH61/(1+$AF237)-'Procesy - AS IS'!AH61</f>
        <v>4.5576989359145621</v>
      </c>
      <c r="AI237" s="730">
        <f>'Procesy - AS IS'!AI61/(1+$AF237)-'Procesy - AS IS'!AI61</f>
        <v>2.7364270755540581</v>
      </c>
      <c r="AJ237" s="731">
        <f>'Procesy - AS IS'!AJ61/(1+$AF237)-'Procesy - AS IS'!AJ61</f>
        <v>0.39091815365057991</v>
      </c>
      <c r="AL237" s="232"/>
      <c r="AZ237" s="227"/>
    </row>
    <row r="238" spans="1:52" hidden="1" outlineLevel="1" x14ac:dyDescent="0.25">
      <c r="A238" s="159"/>
      <c r="B238" s="1358" t="s">
        <v>528</v>
      </c>
      <c r="C238" s="667" t="str">
        <f>'Optimalizačné opatrenia'!$B$2</f>
        <v>Modernizácia</v>
      </c>
      <c r="D238" s="703" t="s">
        <v>530</v>
      </c>
      <c r="E238" s="674" t="s">
        <v>530</v>
      </c>
      <c r="F238" s="703" t="s">
        <v>530</v>
      </c>
      <c r="G238" s="703" t="str">
        <f t="shared" si="256"/>
        <v>A</v>
      </c>
      <c r="H238" s="703"/>
      <c r="I238" s="703"/>
      <c r="J238" s="703"/>
      <c r="K238" s="703"/>
      <c r="L238" s="703" t="str">
        <f t="shared" ref="L238:M238" si="271">L224</f>
        <v>A</v>
      </c>
      <c r="M238" s="703" t="str">
        <f t="shared" si="271"/>
        <v>A</v>
      </c>
      <c r="N238" s="703" t="str">
        <f t="shared" ref="N238:N250" si="272">G238</f>
        <v>A</v>
      </c>
      <c r="O238" s="703"/>
      <c r="P238" s="703" t="str">
        <f t="shared" ref="P238:Q238" si="273">P210</f>
        <v>A</v>
      </c>
      <c r="Q238" s="703" t="str">
        <f t="shared" si="273"/>
        <v>A</v>
      </c>
      <c r="R238" s="703" t="str">
        <f t="shared" si="260"/>
        <v>A</v>
      </c>
      <c r="S238" s="703" t="str">
        <f t="shared" ref="S238:S250" si="274">R238</f>
        <v>A</v>
      </c>
      <c r="T238" s="703" t="str">
        <f t="shared" ref="T238:T250" si="275">R210</f>
        <v>A</v>
      </c>
      <c r="U238" s="703" t="str">
        <f t="shared" si="263"/>
        <v>A</v>
      </c>
      <c r="V238" s="703" t="str">
        <f t="shared" si="264"/>
        <v>A</v>
      </c>
      <c r="W238" s="703" t="str">
        <f t="shared" ref="W238:W250" si="276">W24</f>
        <v>A</v>
      </c>
      <c r="X238" s="703" t="str">
        <f t="shared" si="266"/>
        <v>A</v>
      </c>
      <c r="Y238" s="703" t="str">
        <f t="shared" si="267"/>
        <v>A</v>
      </c>
      <c r="Z238" s="703" t="str">
        <f t="shared" ref="Z238:Z250" si="277">R210</f>
        <v>A</v>
      </c>
      <c r="AA238" s="703" t="str">
        <f t="shared" si="269"/>
        <v>A</v>
      </c>
      <c r="AB238" s="703" t="str">
        <f t="shared" si="270"/>
        <v>A</v>
      </c>
      <c r="AC238" s="703" t="str">
        <f t="shared" si="270"/>
        <v>A</v>
      </c>
      <c r="AD238" s="804"/>
      <c r="AE238" s="804"/>
      <c r="AF238" s="791"/>
      <c r="AG238" s="798"/>
      <c r="AH238" s="928"/>
      <c r="AI238" s="732"/>
      <c r="AJ238" s="733"/>
    </row>
    <row r="239" spans="1:52" hidden="1" outlineLevel="1" x14ac:dyDescent="0.25">
      <c r="A239" s="159"/>
      <c r="B239" s="1359"/>
      <c r="C239" s="667" t="str">
        <f>'Optimalizačné opatrenia'!$B$3</f>
        <v>Sfunkčnenie</v>
      </c>
      <c r="D239" s="718" t="s">
        <v>530</v>
      </c>
      <c r="E239" s="703" t="s">
        <v>530</v>
      </c>
      <c r="F239" s="703" t="s">
        <v>530</v>
      </c>
      <c r="G239" s="703" t="str">
        <f t="shared" si="256"/>
        <v>N</v>
      </c>
      <c r="H239" s="703"/>
      <c r="I239" s="703"/>
      <c r="J239" s="703"/>
      <c r="K239" s="703"/>
      <c r="L239" s="703" t="str">
        <f t="shared" ref="L239:M239" si="278">L225</f>
        <v>N</v>
      </c>
      <c r="M239" s="703" t="str">
        <f t="shared" si="278"/>
        <v>N</v>
      </c>
      <c r="N239" s="703" t="str">
        <f t="shared" si="272"/>
        <v>N</v>
      </c>
      <c r="O239" s="703"/>
      <c r="P239" s="703" t="str">
        <f t="shared" ref="P239:Q239" si="279">P211</f>
        <v>N</v>
      </c>
      <c r="Q239" s="703" t="str">
        <f t="shared" si="279"/>
        <v>N</v>
      </c>
      <c r="R239" s="703" t="str">
        <f t="shared" si="260"/>
        <v>N</v>
      </c>
      <c r="S239" s="703" t="str">
        <f t="shared" si="274"/>
        <v>N</v>
      </c>
      <c r="T239" s="703" t="str">
        <f t="shared" si="275"/>
        <v>N</v>
      </c>
      <c r="U239" s="703" t="str">
        <f t="shared" si="263"/>
        <v>N</v>
      </c>
      <c r="V239" s="703" t="str">
        <f t="shared" si="264"/>
        <v>N</v>
      </c>
      <c r="W239" s="703" t="str">
        <f t="shared" si="276"/>
        <v>N</v>
      </c>
      <c r="X239" s="703" t="str">
        <f t="shared" si="266"/>
        <v>N</v>
      </c>
      <c r="Y239" s="703" t="str">
        <f t="shared" si="267"/>
        <v>N</v>
      </c>
      <c r="Z239" s="703" t="str">
        <f t="shared" si="277"/>
        <v>N</v>
      </c>
      <c r="AA239" s="703" t="str">
        <f t="shared" si="269"/>
        <v>N</v>
      </c>
      <c r="AB239" s="703" t="str">
        <f t="shared" si="270"/>
        <v>N</v>
      </c>
      <c r="AC239" s="703" t="str">
        <f t="shared" si="270"/>
        <v>N</v>
      </c>
      <c r="AD239" s="804"/>
      <c r="AE239" s="804"/>
      <c r="AF239" s="791"/>
      <c r="AG239" s="798"/>
      <c r="AH239" s="928"/>
      <c r="AI239" s="732"/>
      <c r="AJ239" s="733"/>
    </row>
    <row r="240" spans="1:52" hidden="1" outlineLevel="1" x14ac:dyDescent="0.25">
      <c r="A240" s="159"/>
      <c r="B240" s="1359"/>
      <c r="C240" s="667" t="str">
        <f>'Optimalizačné opatrenia'!$B$4</f>
        <v>Zjednotenie</v>
      </c>
      <c r="D240" s="718" t="s">
        <v>530</v>
      </c>
      <c r="E240" s="703" t="s">
        <v>530</v>
      </c>
      <c r="F240" s="703" t="s">
        <v>530</v>
      </c>
      <c r="G240" s="703" t="str">
        <f t="shared" si="256"/>
        <v>A</v>
      </c>
      <c r="H240" s="703"/>
      <c r="I240" s="703"/>
      <c r="J240" s="703"/>
      <c r="K240" s="703"/>
      <c r="L240" s="703" t="str">
        <f t="shared" ref="L240:M240" si="280">L226</f>
        <v>A</v>
      </c>
      <c r="M240" s="703" t="str">
        <f t="shared" si="280"/>
        <v>A</v>
      </c>
      <c r="N240" s="703" t="str">
        <f t="shared" si="272"/>
        <v>A</v>
      </c>
      <c r="O240" s="703"/>
      <c r="P240" s="703" t="str">
        <f t="shared" ref="P240:Q240" si="281">P212</f>
        <v>A</v>
      </c>
      <c r="Q240" s="703" t="str">
        <f t="shared" si="281"/>
        <v>A</v>
      </c>
      <c r="R240" s="703" t="str">
        <f t="shared" si="260"/>
        <v>A</v>
      </c>
      <c r="S240" s="703" t="str">
        <f t="shared" si="274"/>
        <v>A</v>
      </c>
      <c r="T240" s="703" t="str">
        <f t="shared" si="275"/>
        <v>A</v>
      </c>
      <c r="U240" s="703" t="str">
        <f t="shared" si="263"/>
        <v>A</v>
      </c>
      <c r="V240" s="703" t="str">
        <f t="shared" si="264"/>
        <v>A</v>
      </c>
      <c r="W240" s="703" t="str">
        <f t="shared" si="276"/>
        <v>A</v>
      </c>
      <c r="X240" s="703" t="str">
        <f t="shared" si="266"/>
        <v>A</v>
      </c>
      <c r="Y240" s="703" t="str">
        <f t="shared" si="267"/>
        <v>A</v>
      </c>
      <c r="Z240" s="703" t="str">
        <f t="shared" si="277"/>
        <v>A</v>
      </c>
      <c r="AA240" s="703" t="str">
        <f t="shared" si="269"/>
        <v>A</v>
      </c>
      <c r="AB240" s="703" t="str">
        <f t="shared" ref="AB240:AC250" si="282">$R240</f>
        <v>A</v>
      </c>
      <c r="AC240" s="703" t="str">
        <f t="shared" si="282"/>
        <v>A</v>
      </c>
      <c r="AD240" s="804"/>
      <c r="AE240" s="804"/>
      <c r="AF240" s="791"/>
      <c r="AG240" s="798"/>
      <c r="AH240" s="928"/>
      <c r="AI240" s="732"/>
      <c r="AJ240" s="733"/>
    </row>
    <row r="241" spans="1:52" hidden="1" outlineLevel="1" x14ac:dyDescent="0.25">
      <c r="A241" s="159"/>
      <c r="B241" s="1359"/>
      <c r="C241" s="667" t="str">
        <f>'Optimalizačné opatrenia'!$B$5</f>
        <v>Centralizácia</v>
      </c>
      <c r="D241" s="718" t="s">
        <v>530</v>
      </c>
      <c r="E241" s="703" t="s">
        <v>530</v>
      </c>
      <c r="F241" s="703" t="s">
        <v>530</v>
      </c>
      <c r="G241" s="703" t="str">
        <f t="shared" si="256"/>
        <v>A</v>
      </c>
      <c r="H241" s="703"/>
      <c r="I241" s="703"/>
      <c r="J241" s="703"/>
      <c r="K241" s="703"/>
      <c r="L241" s="703" t="str">
        <f t="shared" ref="L241:M241" si="283">L227</f>
        <v>A</v>
      </c>
      <c r="M241" s="703" t="str">
        <f t="shared" si="283"/>
        <v>A</v>
      </c>
      <c r="N241" s="703" t="str">
        <f t="shared" si="272"/>
        <v>A</v>
      </c>
      <c r="O241" s="703"/>
      <c r="P241" s="703" t="str">
        <f t="shared" ref="P241:Q241" si="284">P213</f>
        <v>A</v>
      </c>
      <c r="Q241" s="703" t="str">
        <f t="shared" si="284"/>
        <v>A</v>
      </c>
      <c r="R241" s="703" t="str">
        <f t="shared" si="260"/>
        <v>A</v>
      </c>
      <c r="S241" s="703" t="str">
        <f t="shared" si="274"/>
        <v>A</v>
      </c>
      <c r="T241" s="703" t="str">
        <f t="shared" si="275"/>
        <v>A</v>
      </c>
      <c r="U241" s="703" t="str">
        <f t="shared" si="263"/>
        <v>A</v>
      </c>
      <c r="V241" s="703" t="str">
        <f t="shared" si="264"/>
        <v>A</v>
      </c>
      <c r="W241" s="703" t="str">
        <f t="shared" si="276"/>
        <v>A</v>
      </c>
      <c r="X241" s="703" t="str">
        <f t="shared" si="266"/>
        <v>A</v>
      </c>
      <c r="Y241" s="703" t="str">
        <f t="shared" si="267"/>
        <v>A</v>
      </c>
      <c r="Z241" s="703" t="str">
        <f t="shared" si="277"/>
        <v>A</v>
      </c>
      <c r="AA241" s="703" t="str">
        <f t="shared" si="269"/>
        <v>A</v>
      </c>
      <c r="AB241" s="703" t="str">
        <f t="shared" si="282"/>
        <v>A</v>
      </c>
      <c r="AC241" s="703" t="str">
        <f t="shared" si="282"/>
        <v>A</v>
      </c>
      <c r="AD241" s="804"/>
      <c r="AE241" s="804"/>
      <c r="AF241" s="791"/>
      <c r="AG241" s="798"/>
      <c r="AH241" s="928"/>
      <c r="AI241" s="732"/>
      <c r="AJ241" s="733"/>
    </row>
    <row r="242" spans="1:52" hidden="1" outlineLevel="1" x14ac:dyDescent="0.25">
      <c r="A242" s="159"/>
      <c r="B242" s="1359"/>
      <c r="C242" s="667" t="str">
        <f>'Optimalizačné opatrenia'!$B$6</f>
        <v>Elektronizácia</v>
      </c>
      <c r="D242" s="718" t="s">
        <v>530</v>
      </c>
      <c r="E242" s="703" t="s">
        <v>530</v>
      </c>
      <c r="F242" s="703" t="s">
        <v>530</v>
      </c>
      <c r="G242" s="703" t="str">
        <f t="shared" si="256"/>
        <v>A</v>
      </c>
      <c r="H242" s="703"/>
      <c r="I242" s="703"/>
      <c r="J242" s="703"/>
      <c r="K242" s="703"/>
      <c r="L242" s="703" t="str">
        <f t="shared" ref="L242:M242" si="285">L228</f>
        <v>A</v>
      </c>
      <c r="M242" s="703" t="str">
        <f t="shared" si="285"/>
        <v>A</v>
      </c>
      <c r="N242" s="703" t="str">
        <f t="shared" si="272"/>
        <v>A</v>
      </c>
      <c r="O242" s="703"/>
      <c r="P242" s="703" t="str">
        <f t="shared" ref="P242:Q242" si="286">P214</f>
        <v>A</v>
      </c>
      <c r="Q242" s="703" t="str">
        <f t="shared" si="286"/>
        <v>A</v>
      </c>
      <c r="R242" s="703" t="str">
        <f t="shared" si="260"/>
        <v>A</v>
      </c>
      <c r="S242" s="703" t="str">
        <f t="shared" si="274"/>
        <v>A</v>
      </c>
      <c r="T242" s="703" t="str">
        <f t="shared" si="275"/>
        <v>A</v>
      </c>
      <c r="U242" s="703" t="str">
        <f t="shared" si="263"/>
        <v>A</v>
      </c>
      <c r="V242" s="703" t="str">
        <f t="shared" si="264"/>
        <v>A</v>
      </c>
      <c r="W242" s="703" t="str">
        <f t="shared" si="276"/>
        <v>A</v>
      </c>
      <c r="X242" s="703" t="str">
        <f t="shared" si="266"/>
        <v>A</v>
      </c>
      <c r="Y242" s="703" t="str">
        <f t="shared" si="267"/>
        <v>A</v>
      </c>
      <c r="Z242" s="703" t="str">
        <f t="shared" si="277"/>
        <v>A</v>
      </c>
      <c r="AA242" s="703" t="str">
        <f t="shared" si="269"/>
        <v>A</v>
      </c>
      <c r="AB242" s="703" t="str">
        <f t="shared" si="282"/>
        <v>A</v>
      </c>
      <c r="AC242" s="703" t="str">
        <f t="shared" si="282"/>
        <v>A</v>
      </c>
      <c r="AD242" s="804"/>
      <c r="AE242" s="804"/>
      <c r="AF242" s="791"/>
      <c r="AG242" s="798"/>
      <c r="AH242" s="928"/>
      <c r="AI242" s="732"/>
      <c r="AJ242" s="733"/>
    </row>
    <row r="243" spans="1:52" hidden="1" outlineLevel="1" x14ac:dyDescent="0.25">
      <c r="A243" s="159"/>
      <c r="B243" s="1359"/>
      <c r="C243" s="667" t="str">
        <f>'Optimalizačné opatrenia'!$B$7</f>
        <v>Automatizácia</v>
      </c>
      <c r="D243" s="718" t="s">
        <v>530</v>
      </c>
      <c r="E243" s="703" t="s">
        <v>530</v>
      </c>
      <c r="F243" s="703" t="s">
        <v>530</v>
      </c>
      <c r="G243" s="703" t="str">
        <f t="shared" si="256"/>
        <v>A</v>
      </c>
      <c r="H243" s="703"/>
      <c r="I243" s="703"/>
      <c r="J243" s="703"/>
      <c r="K243" s="703"/>
      <c r="L243" s="703" t="str">
        <f t="shared" ref="L243:M243" si="287">L229</f>
        <v>A</v>
      </c>
      <c r="M243" s="703" t="str">
        <f t="shared" si="287"/>
        <v>A</v>
      </c>
      <c r="N243" s="703" t="str">
        <f t="shared" si="272"/>
        <v>A</v>
      </c>
      <c r="O243" s="703"/>
      <c r="P243" s="703" t="str">
        <f t="shared" ref="P243:Q243" si="288">P215</f>
        <v>A</v>
      </c>
      <c r="Q243" s="703" t="str">
        <f t="shared" si="288"/>
        <v>A</v>
      </c>
      <c r="R243" s="703" t="str">
        <f t="shared" si="260"/>
        <v>A</v>
      </c>
      <c r="S243" s="703" t="str">
        <f t="shared" si="274"/>
        <v>A</v>
      </c>
      <c r="T243" s="703" t="str">
        <f t="shared" si="275"/>
        <v>A</v>
      </c>
      <c r="U243" s="703" t="str">
        <f t="shared" si="263"/>
        <v>A</v>
      </c>
      <c r="V243" s="703" t="str">
        <f t="shared" si="264"/>
        <v>A</v>
      </c>
      <c r="W243" s="703" t="str">
        <f t="shared" si="276"/>
        <v>A</v>
      </c>
      <c r="X243" s="703" t="str">
        <f t="shared" si="266"/>
        <v>A</v>
      </c>
      <c r="Y243" s="703" t="str">
        <f t="shared" si="267"/>
        <v>A</v>
      </c>
      <c r="Z243" s="703" t="str">
        <f t="shared" si="277"/>
        <v>A</v>
      </c>
      <c r="AA243" s="703" t="str">
        <f t="shared" si="269"/>
        <v>A</v>
      </c>
      <c r="AB243" s="703" t="str">
        <f t="shared" si="282"/>
        <v>A</v>
      </c>
      <c r="AC243" s="703" t="str">
        <f t="shared" si="282"/>
        <v>A</v>
      </c>
      <c r="AD243" s="804"/>
      <c r="AE243" s="804"/>
      <c r="AF243" s="791"/>
      <c r="AG243" s="798"/>
      <c r="AH243" s="928"/>
      <c r="AI243" s="732"/>
      <c r="AJ243" s="733"/>
    </row>
    <row r="244" spans="1:52" hidden="1" outlineLevel="1" x14ac:dyDescent="0.25">
      <c r="A244" s="159"/>
      <c r="B244" s="1359"/>
      <c r="C244" s="667" t="str">
        <f>'Optimalizačné opatrenia'!$B$8</f>
        <v>Bezpečnosť</v>
      </c>
      <c r="D244" s="718" t="s">
        <v>530</v>
      </c>
      <c r="E244" s="703" t="s">
        <v>530</v>
      </c>
      <c r="F244" s="703" t="s">
        <v>530</v>
      </c>
      <c r="G244" s="703" t="str">
        <f t="shared" si="256"/>
        <v>A</v>
      </c>
      <c r="H244" s="703"/>
      <c r="I244" s="703"/>
      <c r="J244" s="703"/>
      <c r="K244" s="703"/>
      <c r="L244" s="703" t="str">
        <f t="shared" ref="L244:M244" si="289">L230</f>
        <v>A</v>
      </c>
      <c r="M244" s="703" t="str">
        <f t="shared" si="289"/>
        <v>A</v>
      </c>
      <c r="N244" s="703" t="str">
        <f t="shared" si="272"/>
        <v>A</v>
      </c>
      <c r="O244" s="703"/>
      <c r="P244" s="703" t="str">
        <f t="shared" ref="P244:Q244" si="290">P216</f>
        <v>A</v>
      </c>
      <c r="Q244" s="703" t="str">
        <f t="shared" si="290"/>
        <v>A</v>
      </c>
      <c r="R244" s="703" t="str">
        <f t="shared" si="260"/>
        <v>A</v>
      </c>
      <c r="S244" s="703" t="str">
        <f t="shared" si="274"/>
        <v>A</v>
      </c>
      <c r="T244" s="703" t="str">
        <f t="shared" si="275"/>
        <v>A</v>
      </c>
      <c r="U244" s="703" t="str">
        <f t="shared" si="263"/>
        <v>A</v>
      </c>
      <c r="V244" s="703" t="str">
        <f t="shared" si="264"/>
        <v>A</v>
      </c>
      <c r="W244" s="703" t="str">
        <f t="shared" si="276"/>
        <v>A</v>
      </c>
      <c r="X244" s="703" t="str">
        <f t="shared" si="266"/>
        <v>A</v>
      </c>
      <c r="Y244" s="703" t="str">
        <f t="shared" si="267"/>
        <v>A</v>
      </c>
      <c r="Z244" s="703" t="str">
        <f t="shared" si="277"/>
        <v>A</v>
      </c>
      <c r="AA244" s="703" t="str">
        <f t="shared" si="269"/>
        <v>A</v>
      </c>
      <c r="AB244" s="703" t="str">
        <f t="shared" si="282"/>
        <v>A</v>
      </c>
      <c r="AC244" s="703" t="str">
        <f t="shared" si="282"/>
        <v>A</v>
      </c>
      <c r="AD244" s="804"/>
      <c r="AE244" s="804"/>
      <c r="AF244" s="791"/>
      <c r="AG244" s="798"/>
      <c r="AH244" s="928"/>
      <c r="AI244" s="732"/>
      <c r="AJ244" s="733"/>
    </row>
    <row r="245" spans="1:52" hidden="1" outlineLevel="1" x14ac:dyDescent="0.25">
      <c r="A245" s="159"/>
      <c r="B245" s="1359"/>
      <c r="C245" s="667" t="str">
        <f>'Optimalizačné opatrenia'!$B$9</f>
        <v>Auditovateľnosť</v>
      </c>
      <c r="D245" s="718" t="s">
        <v>530</v>
      </c>
      <c r="E245" s="703" t="s">
        <v>530</v>
      </c>
      <c r="F245" s="703" t="s">
        <v>530</v>
      </c>
      <c r="G245" s="703" t="str">
        <f t="shared" si="256"/>
        <v>A</v>
      </c>
      <c r="H245" s="703"/>
      <c r="I245" s="703"/>
      <c r="J245" s="703"/>
      <c r="K245" s="703"/>
      <c r="L245" s="703" t="str">
        <f t="shared" ref="L245:M245" si="291">L231</f>
        <v>A</v>
      </c>
      <c r="M245" s="703" t="str">
        <f t="shared" si="291"/>
        <v>A</v>
      </c>
      <c r="N245" s="703" t="str">
        <f t="shared" si="272"/>
        <v>A</v>
      </c>
      <c r="O245" s="703"/>
      <c r="P245" s="703" t="str">
        <f t="shared" ref="P245:Q245" si="292">P217</f>
        <v>A</v>
      </c>
      <c r="Q245" s="703" t="str">
        <f t="shared" si="292"/>
        <v>A</v>
      </c>
      <c r="R245" s="703" t="str">
        <f t="shared" si="260"/>
        <v>N</v>
      </c>
      <c r="S245" s="703" t="str">
        <f t="shared" si="274"/>
        <v>N</v>
      </c>
      <c r="T245" s="703" t="str">
        <f t="shared" si="275"/>
        <v>N</v>
      </c>
      <c r="U245" s="703" t="str">
        <f t="shared" si="263"/>
        <v>A</v>
      </c>
      <c r="V245" s="703" t="str">
        <f t="shared" si="264"/>
        <v>A</v>
      </c>
      <c r="W245" s="703" t="str">
        <f t="shared" si="276"/>
        <v>A</v>
      </c>
      <c r="X245" s="703" t="str">
        <f t="shared" si="266"/>
        <v>A</v>
      </c>
      <c r="Y245" s="703" t="str">
        <f t="shared" si="267"/>
        <v>N</v>
      </c>
      <c r="Z245" s="703" t="str">
        <f t="shared" si="277"/>
        <v>N</v>
      </c>
      <c r="AA245" s="703" t="str">
        <f t="shared" si="269"/>
        <v>A</v>
      </c>
      <c r="AB245" s="703" t="str">
        <f t="shared" si="282"/>
        <v>N</v>
      </c>
      <c r="AC245" s="703" t="str">
        <f t="shared" si="282"/>
        <v>N</v>
      </c>
      <c r="AD245" s="804"/>
      <c r="AE245" s="804"/>
      <c r="AF245" s="791"/>
      <c r="AG245" s="798"/>
      <c r="AH245" s="928"/>
      <c r="AI245" s="732"/>
      <c r="AJ245" s="733"/>
    </row>
    <row r="246" spans="1:52" hidden="1" outlineLevel="1" x14ac:dyDescent="0.25">
      <c r="A246" s="159"/>
      <c r="B246" s="1359"/>
      <c r="C246" s="667" t="str">
        <f>'Optimalizačné opatrenia'!$B$10</f>
        <v>Transparentnosť</v>
      </c>
      <c r="D246" s="718" t="s">
        <v>530</v>
      </c>
      <c r="E246" s="703" t="s">
        <v>530</v>
      </c>
      <c r="F246" s="703" t="s">
        <v>530</v>
      </c>
      <c r="G246" s="703" t="str">
        <f t="shared" si="256"/>
        <v>N</v>
      </c>
      <c r="H246" s="703"/>
      <c r="I246" s="703"/>
      <c r="J246" s="703"/>
      <c r="K246" s="703"/>
      <c r="L246" s="703" t="str">
        <f t="shared" ref="L246:M246" si="293">L232</f>
        <v>N</v>
      </c>
      <c r="M246" s="703" t="str">
        <f t="shared" si="293"/>
        <v>N</v>
      </c>
      <c r="N246" s="703" t="str">
        <f t="shared" si="272"/>
        <v>N</v>
      </c>
      <c r="O246" s="703"/>
      <c r="P246" s="703" t="str">
        <f t="shared" ref="P246:Q246" si="294">P218</f>
        <v>A</v>
      </c>
      <c r="Q246" s="703" t="str">
        <f t="shared" si="294"/>
        <v>N</v>
      </c>
      <c r="R246" s="703" t="str">
        <f t="shared" si="260"/>
        <v>N</v>
      </c>
      <c r="S246" s="703" t="str">
        <f t="shared" si="274"/>
        <v>N</v>
      </c>
      <c r="T246" s="703" t="str">
        <f t="shared" si="275"/>
        <v>N</v>
      </c>
      <c r="U246" s="703" t="str">
        <f t="shared" si="263"/>
        <v>N</v>
      </c>
      <c r="V246" s="703" t="str">
        <f t="shared" si="264"/>
        <v>A</v>
      </c>
      <c r="W246" s="703" t="str">
        <f t="shared" si="276"/>
        <v>N</v>
      </c>
      <c r="X246" s="703" t="str">
        <f t="shared" si="266"/>
        <v>N</v>
      </c>
      <c r="Y246" s="703" t="str">
        <f t="shared" si="267"/>
        <v>N</v>
      </c>
      <c r="Z246" s="703" t="str">
        <f t="shared" si="277"/>
        <v>N</v>
      </c>
      <c r="AA246" s="703" t="str">
        <f t="shared" si="269"/>
        <v>A</v>
      </c>
      <c r="AB246" s="703" t="str">
        <f t="shared" si="282"/>
        <v>N</v>
      </c>
      <c r="AC246" s="703" t="str">
        <f t="shared" si="282"/>
        <v>N</v>
      </c>
      <c r="AD246" s="804"/>
      <c r="AE246" s="804"/>
      <c r="AF246" s="791"/>
      <c r="AG246" s="798"/>
      <c r="AH246" s="928"/>
      <c r="AI246" s="732"/>
      <c r="AJ246" s="733"/>
    </row>
    <row r="247" spans="1:52" hidden="1" outlineLevel="1" x14ac:dyDescent="0.25">
      <c r="A247" s="159"/>
      <c r="B247" s="1359"/>
      <c r="C247" s="667" t="str">
        <f>'Optimalizačné opatrenia'!$B$11</f>
        <v>Analyzovatelnosť</v>
      </c>
      <c r="D247" s="718" t="s">
        <v>530</v>
      </c>
      <c r="E247" s="703" t="s">
        <v>530</v>
      </c>
      <c r="F247" s="703" t="s">
        <v>530</v>
      </c>
      <c r="G247" s="703" t="str">
        <f t="shared" si="256"/>
        <v>A</v>
      </c>
      <c r="H247" s="703"/>
      <c r="I247" s="703"/>
      <c r="J247" s="703"/>
      <c r="K247" s="703"/>
      <c r="L247" s="703" t="str">
        <f t="shared" ref="L247:M247" si="295">L233</f>
        <v>A</v>
      </c>
      <c r="M247" s="703" t="str">
        <f t="shared" si="295"/>
        <v>A</v>
      </c>
      <c r="N247" s="703" t="str">
        <f t="shared" si="272"/>
        <v>A</v>
      </c>
      <c r="O247" s="703"/>
      <c r="P247" s="703" t="str">
        <f t="shared" ref="P247:Q247" si="296">P219</f>
        <v>A</v>
      </c>
      <c r="Q247" s="703" t="str">
        <f t="shared" si="296"/>
        <v>A</v>
      </c>
      <c r="R247" s="703" t="str">
        <f t="shared" si="260"/>
        <v>N</v>
      </c>
      <c r="S247" s="703" t="str">
        <f t="shared" si="274"/>
        <v>N</v>
      </c>
      <c r="T247" s="703" t="str">
        <f t="shared" si="275"/>
        <v>N</v>
      </c>
      <c r="U247" s="703" t="str">
        <f t="shared" si="263"/>
        <v>A</v>
      </c>
      <c r="V247" s="703" t="str">
        <f t="shared" si="264"/>
        <v>A</v>
      </c>
      <c r="W247" s="703" t="str">
        <f t="shared" si="276"/>
        <v>A</v>
      </c>
      <c r="X247" s="703" t="str">
        <f t="shared" si="266"/>
        <v>A</v>
      </c>
      <c r="Y247" s="703" t="str">
        <f t="shared" si="267"/>
        <v>N</v>
      </c>
      <c r="Z247" s="703" t="str">
        <f t="shared" si="277"/>
        <v>N</v>
      </c>
      <c r="AA247" s="703" t="str">
        <f t="shared" si="269"/>
        <v>A</v>
      </c>
      <c r="AB247" s="703" t="str">
        <f t="shared" si="282"/>
        <v>N</v>
      </c>
      <c r="AC247" s="703" t="str">
        <f t="shared" si="282"/>
        <v>N</v>
      </c>
      <c r="AD247" s="804"/>
      <c r="AE247" s="804"/>
      <c r="AF247" s="791"/>
      <c r="AG247" s="798"/>
      <c r="AH247" s="928"/>
      <c r="AI247" s="732"/>
      <c r="AJ247" s="733"/>
    </row>
    <row r="248" spans="1:52" hidden="1" outlineLevel="1" x14ac:dyDescent="0.25">
      <c r="A248" s="159"/>
      <c r="B248" s="1359"/>
      <c r="C248" s="667" t="str">
        <f>'Optimalizačné opatrenia'!$B$12</f>
        <v>Integrácia</v>
      </c>
      <c r="D248" s="718" t="s">
        <v>530</v>
      </c>
      <c r="E248" s="703" t="s">
        <v>530</v>
      </c>
      <c r="F248" s="703" t="s">
        <v>530</v>
      </c>
      <c r="G248" s="703" t="str">
        <f t="shared" si="256"/>
        <v>A</v>
      </c>
      <c r="H248" s="703"/>
      <c r="I248" s="703"/>
      <c r="J248" s="703"/>
      <c r="K248" s="703"/>
      <c r="L248" s="703" t="str">
        <f t="shared" ref="L248:M248" si="297">L234</f>
        <v>A</v>
      </c>
      <c r="M248" s="703" t="str">
        <f t="shared" si="297"/>
        <v>A</v>
      </c>
      <c r="N248" s="703" t="str">
        <f t="shared" si="272"/>
        <v>A</v>
      </c>
      <c r="O248" s="703"/>
      <c r="P248" s="703" t="str">
        <f t="shared" ref="P248:Q248" si="298">P220</f>
        <v>A</v>
      </c>
      <c r="Q248" s="703" t="str">
        <f t="shared" si="298"/>
        <v>A</v>
      </c>
      <c r="R248" s="703" t="str">
        <f t="shared" si="260"/>
        <v>A</v>
      </c>
      <c r="S248" s="703" t="str">
        <f t="shared" si="274"/>
        <v>A</v>
      </c>
      <c r="T248" s="703" t="str">
        <f t="shared" si="275"/>
        <v>A</v>
      </c>
      <c r="U248" s="703" t="str">
        <f t="shared" si="263"/>
        <v>A</v>
      </c>
      <c r="V248" s="703" t="str">
        <f t="shared" si="264"/>
        <v>A</v>
      </c>
      <c r="W248" s="703" t="str">
        <f t="shared" si="276"/>
        <v>A</v>
      </c>
      <c r="X248" s="703" t="str">
        <f t="shared" si="266"/>
        <v>A</v>
      </c>
      <c r="Y248" s="703" t="str">
        <f t="shared" si="267"/>
        <v>A</v>
      </c>
      <c r="Z248" s="703" t="str">
        <f t="shared" si="277"/>
        <v>A</v>
      </c>
      <c r="AA248" s="703" t="str">
        <f t="shared" si="269"/>
        <v>A</v>
      </c>
      <c r="AB248" s="703" t="str">
        <f t="shared" si="282"/>
        <v>A</v>
      </c>
      <c r="AC248" s="703" t="str">
        <f t="shared" si="282"/>
        <v>A</v>
      </c>
      <c r="AD248" s="804"/>
      <c r="AE248" s="804"/>
      <c r="AF248" s="791"/>
      <c r="AG248" s="798"/>
      <c r="AH248" s="928"/>
      <c r="AI248" s="732"/>
      <c r="AJ248" s="733"/>
    </row>
    <row r="249" spans="1:52" hidden="1" outlineLevel="1" x14ac:dyDescent="0.25">
      <c r="A249" s="159"/>
      <c r="B249" s="1359"/>
      <c r="C249" s="672" t="str">
        <f>'Optimalizačné opatrenia'!$B$13</f>
        <v>Proaktivita</v>
      </c>
      <c r="D249" s="718" t="s">
        <v>530</v>
      </c>
      <c r="E249" s="703" t="s">
        <v>530</v>
      </c>
      <c r="F249" s="703" t="s">
        <v>530</v>
      </c>
      <c r="G249" s="703" t="str">
        <f t="shared" si="256"/>
        <v>N</v>
      </c>
      <c r="H249" s="703"/>
      <c r="I249" s="703"/>
      <c r="J249" s="703"/>
      <c r="K249" s="703"/>
      <c r="L249" s="703" t="str">
        <f t="shared" ref="L249:M249" si="299">L235</f>
        <v>A</v>
      </c>
      <c r="M249" s="703" t="str">
        <f t="shared" si="299"/>
        <v>N</v>
      </c>
      <c r="N249" s="703" t="str">
        <f t="shared" si="272"/>
        <v>N</v>
      </c>
      <c r="O249" s="703"/>
      <c r="P249" s="703" t="str">
        <f t="shared" ref="P249:Q249" si="300">P221</f>
        <v>N</v>
      </c>
      <c r="Q249" s="703" t="str">
        <f t="shared" si="300"/>
        <v>N</v>
      </c>
      <c r="R249" s="703" t="str">
        <f t="shared" si="260"/>
        <v>A</v>
      </c>
      <c r="S249" s="703" t="str">
        <f t="shared" si="274"/>
        <v>A</v>
      </c>
      <c r="T249" s="703" t="str">
        <f t="shared" si="275"/>
        <v>A</v>
      </c>
      <c r="U249" s="703" t="str">
        <f t="shared" si="263"/>
        <v>N</v>
      </c>
      <c r="V249" s="703" t="str">
        <f t="shared" si="264"/>
        <v>A</v>
      </c>
      <c r="W249" s="703" t="str">
        <f t="shared" si="276"/>
        <v>N</v>
      </c>
      <c r="X249" s="703" t="str">
        <f t="shared" si="266"/>
        <v>N</v>
      </c>
      <c r="Y249" s="703" t="str">
        <f t="shared" si="267"/>
        <v>A</v>
      </c>
      <c r="Z249" s="703" t="str">
        <f t="shared" si="277"/>
        <v>A</v>
      </c>
      <c r="AA249" s="703" t="str">
        <f t="shared" si="269"/>
        <v>A</v>
      </c>
      <c r="AB249" s="703" t="str">
        <f t="shared" si="282"/>
        <v>A</v>
      </c>
      <c r="AC249" s="703" t="str">
        <f t="shared" si="282"/>
        <v>A</v>
      </c>
      <c r="AD249" s="804"/>
      <c r="AE249" s="804"/>
      <c r="AF249" s="791"/>
      <c r="AG249" s="798"/>
      <c r="AH249" s="928"/>
      <c r="AI249" s="732"/>
      <c r="AJ249" s="733"/>
    </row>
    <row r="250" spans="1:52" hidden="1" outlineLevel="1" x14ac:dyDescent="0.25">
      <c r="A250" s="159"/>
      <c r="B250" s="720"/>
      <c r="C250" s="722" t="s">
        <v>538</v>
      </c>
      <c r="D250" s="723">
        <v>0</v>
      </c>
      <c r="E250" s="721">
        <v>0</v>
      </c>
      <c r="F250" s="724">
        <v>0</v>
      </c>
      <c r="G250" s="724">
        <f t="shared" si="256"/>
        <v>0.3</v>
      </c>
      <c r="H250" s="724"/>
      <c r="I250" s="724"/>
      <c r="J250" s="724"/>
      <c r="K250" s="724"/>
      <c r="L250" s="724">
        <f t="shared" ref="L250:M250" si="301">L236</f>
        <v>0.4</v>
      </c>
      <c r="M250" s="724">
        <f t="shared" si="301"/>
        <v>0.3</v>
      </c>
      <c r="N250" s="724">
        <f t="shared" si="272"/>
        <v>0.3</v>
      </c>
      <c r="O250" s="724"/>
      <c r="P250" s="724">
        <f t="shared" ref="P250:Q250" si="302">P222</f>
        <v>0.45</v>
      </c>
      <c r="Q250" s="724">
        <f t="shared" si="302"/>
        <v>0.3</v>
      </c>
      <c r="R250" s="724">
        <f t="shared" si="260"/>
        <v>0.25</v>
      </c>
      <c r="S250" s="724">
        <f t="shared" si="274"/>
        <v>0.25</v>
      </c>
      <c r="T250" s="724">
        <f t="shared" si="275"/>
        <v>0.25</v>
      </c>
      <c r="U250" s="724">
        <f t="shared" si="263"/>
        <v>0.3</v>
      </c>
      <c r="V250" s="724">
        <f t="shared" si="264"/>
        <v>0.5</v>
      </c>
      <c r="W250" s="724">
        <f t="shared" si="276"/>
        <v>0.3</v>
      </c>
      <c r="X250" s="724">
        <f t="shared" si="266"/>
        <v>0.3</v>
      </c>
      <c r="Y250" s="724">
        <f t="shared" si="267"/>
        <v>0.25</v>
      </c>
      <c r="Z250" s="724">
        <f t="shared" si="277"/>
        <v>0.25</v>
      </c>
      <c r="AA250" s="724">
        <f t="shared" si="269"/>
        <v>0.5</v>
      </c>
      <c r="AB250" s="724">
        <f t="shared" si="282"/>
        <v>0.25</v>
      </c>
      <c r="AC250" s="724">
        <f t="shared" si="282"/>
        <v>0.25</v>
      </c>
      <c r="AD250" s="805"/>
      <c r="AE250" s="805"/>
      <c r="AF250" s="792"/>
      <c r="AG250" s="799"/>
      <c r="AH250" s="929"/>
      <c r="AI250" s="735"/>
      <c r="AJ250" s="736"/>
    </row>
    <row r="251" spans="1:52" ht="44.45" customHeight="1" collapsed="1" x14ac:dyDescent="0.25">
      <c r="A251" s="159">
        <f ca="1">OFFSET(A251,-14,0)+1</f>
        <v>18</v>
      </c>
      <c r="B251" s="234" t="str">
        <f ca="1">'Procesy - AS IS'!B62</f>
        <v>Meranie č. 18</v>
      </c>
      <c r="C251" s="650" t="str">
        <f>'Procesy - AS IS'!C62</f>
        <v>SLOVMAS, a.s., Bratislava, Kontrola povinností rozšírenej zodpovednosti výrobcov, 3970/2017</v>
      </c>
      <c r="D251" s="726">
        <f>-'Procesy - AS IS'!D64*D264</f>
        <v>0</v>
      </c>
      <c r="E251" s="653">
        <f>-'Procesy - AS IS'!E64*E264</f>
        <v>0</v>
      </c>
      <c r="F251" s="653">
        <f>-'Procesy - AS IS'!F64*F264</f>
        <v>0</v>
      </c>
      <c r="G251" s="653">
        <f>-'Procesy - AS IS'!G64*G264</f>
        <v>-7.1999999999999993</v>
      </c>
      <c r="H251" s="653" t="s">
        <v>555</v>
      </c>
      <c r="I251" s="653" t="s">
        <v>555</v>
      </c>
      <c r="J251" s="653" t="s">
        <v>555</v>
      </c>
      <c r="K251" s="653" t="s">
        <v>555</v>
      </c>
      <c r="L251" s="653">
        <f>-'Procesy - AS IS'!L64*L264</f>
        <v>-0.2</v>
      </c>
      <c r="M251" s="653">
        <f>-'Procesy - AS IS'!M64*M264</f>
        <v>0</v>
      </c>
      <c r="N251" s="653">
        <f>-'Procesy - AS IS'!N64*N264</f>
        <v>0</v>
      </c>
      <c r="O251" s="653" t="s">
        <v>559</v>
      </c>
      <c r="P251" s="653">
        <f>-'Procesy - AS IS'!P64*P264</f>
        <v>-18</v>
      </c>
      <c r="Q251" s="653">
        <f>-'Procesy - AS IS'!Q64*Q264</f>
        <v>0</v>
      </c>
      <c r="R251" s="653">
        <f>-'Procesy - AS IS'!R64*R264</f>
        <v>-7.0116951203118694</v>
      </c>
      <c r="S251" s="653">
        <f>-'Procesy - AS IS'!S64*S264</f>
        <v>-12.98830487968813</v>
      </c>
      <c r="T251" s="653">
        <f>-'Procesy - AS IS'!T64*T264</f>
        <v>-2.1035085360935608</v>
      </c>
      <c r="U251" s="653">
        <f>-'Procesy - AS IS'!U64*U264</f>
        <v>-0.58447371958596583</v>
      </c>
      <c r="V251" s="653">
        <f>-'Procesy - AS IS'!V64*V264</f>
        <v>-0.25</v>
      </c>
      <c r="W251" s="653">
        <f>-'Procesy - AS IS'!W64*W264</f>
        <v>0</v>
      </c>
      <c r="X251" s="653">
        <f>-'Procesy - AS IS'!X64*X264</f>
        <v>0</v>
      </c>
      <c r="Y251" s="653">
        <f>-'Procesy - AS IS'!Y64*Y264</f>
        <v>0</v>
      </c>
      <c r="Z251" s="653">
        <f>-'Procesy - AS IS'!Z64*Z264</f>
        <v>0</v>
      </c>
      <c r="AA251" s="653">
        <f>-'Procesy - AS IS'!AA64*AA264</f>
        <v>0</v>
      </c>
      <c r="AB251" s="653">
        <f>-'Procesy - AS IS'!AB64*AB264</f>
        <v>0</v>
      </c>
      <c r="AC251" s="653">
        <f>-'Procesy - AS IS'!AC64*AC264</f>
        <v>0</v>
      </c>
      <c r="AD251" s="754"/>
      <c r="AE251" s="754">
        <f>SUM(D251:AC251)</f>
        <v>-48.337982255679528</v>
      </c>
      <c r="AF251" s="728">
        <f>AE251/'Procesy - AS IS'!AD64</f>
        <v>-0.31113074739993424</v>
      </c>
      <c r="AG251" s="797">
        <f>('Procesy - AS IS'!AG64/(1+$AF251)-'Procesy - AS IS'!AG64)/2</f>
        <v>19.421134108832625</v>
      </c>
      <c r="AH251" s="927">
        <f>('Procesy - AS IS'!AH64/(1+$AF251)-'Procesy - AS IS'!AH64)/2</f>
        <v>6.8087535630912051</v>
      </c>
      <c r="AI251" s="730">
        <f>('Procesy - AS IS'!AI64/(1+$AF251)-'Procesy - AS IS'!AI64)/2</f>
        <v>4.064888534406828</v>
      </c>
      <c r="AJ251" s="731">
        <f>('Procesy - AS IS'!AJ64/(1+$AF251)-'Procesy - AS IS'!AJ64)/2</f>
        <v>0.45165428160075871</v>
      </c>
      <c r="AL251" s="232"/>
      <c r="AZ251" s="227"/>
    </row>
    <row r="252" spans="1:52" hidden="1" outlineLevel="1" x14ac:dyDescent="0.25">
      <c r="A252" s="159"/>
      <c r="B252" s="1358" t="s">
        <v>528</v>
      </c>
      <c r="C252" s="667" t="str">
        <f>'Optimalizačné opatrenia'!$B$2</f>
        <v>Modernizácia</v>
      </c>
      <c r="D252" s="703" t="s">
        <v>530</v>
      </c>
      <c r="E252" s="674" t="s">
        <v>530</v>
      </c>
      <c r="F252" s="703" t="s">
        <v>530</v>
      </c>
      <c r="G252" s="703" t="str">
        <f t="shared" si="256"/>
        <v>A</v>
      </c>
      <c r="H252" s="703"/>
      <c r="I252" s="703"/>
      <c r="J252" s="703"/>
      <c r="K252" s="703"/>
      <c r="L252" s="703" t="str">
        <f t="shared" ref="L252:M252" si="303">L238</f>
        <v>A</v>
      </c>
      <c r="M252" s="703" t="str">
        <f t="shared" si="303"/>
        <v>A</v>
      </c>
      <c r="N252" s="703" t="str">
        <f t="shared" ref="N252:N264" si="304">G252</f>
        <v>A</v>
      </c>
      <c r="O252" s="703"/>
      <c r="P252" s="703" t="str">
        <f t="shared" ref="P252:Q252" si="305">P224</f>
        <v>A</v>
      </c>
      <c r="Q252" s="703" t="str">
        <f t="shared" si="305"/>
        <v>A</v>
      </c>
      <c r="R252" s="703" t="str">
        <f t="shared" si="260"/>
        <v>A</v>
      </c>
      <c r="S252" s="703" t="str">
        <f t="shared" ref="S252:S264" si="306">R252</f>
        <v>A</v>
      </c>
      <c r="T252" s="703" t="str">
        <f t="shared" ref="T252:T264" si="307">R224</f>
        <v>A</v>
      </c>
      <c r="U252" s="703" t="str">
        <f t="shared" si="263"/>
        <v>A</v>
      </c>
      <c r="V252" s="703" t="str">
        <f t="shared" si="264"/>
        <v>A</v>
      </c>
      <c r="W252" s="703" t="str">
        <f t="shared" ref="W252:W264" si="308">W38</f>
        <v>A</v>
      </c>
      <c r="X252" s="703" t="str">
        <f t="shared" si="266"/>
        <v>A</v>
      </c>
      <c r="Y252" s="703" t="str">
        <f t="shared" si="267"/>
        <v>A</v>
      </c>
      <c r="Z252" s="703" t="str">
        <f t="shared" ref="Z252:Z264" si="309">R224</f>
        <v>A</v>
      </c>
      <c r="AA252" s="703" t="str">
        <f t="shared" si="269"/>
        <v>A</v>
      </c>
      <c r="AB252" s="703" t="str">
        <f t="shared" ref="AB252:AC264" si="310">$R252</f>
        <v>A</v>
      </c>
      <c r="AC252" s="703" t="str">
        <f t="shared" si="310"/>
        <v>A</v>
      </c>
      <c r="AD252" s="804"/>
      <c r="AE252" s="804"/>
      <c r="AF252" s="791"/>
      <c r="AG252" s="798"/>
      <c r="AH252" s="928"/>
      <c r="AI252" s="732"/>
      <c r="AJ252" s="733"/>
    </row>
    <row r="253" spans="1:52" hidden="1" outlineLevel="1" x14ac:dyDescent="0.25">
      <c r="A253" s="159"/>
      <c r="B253" s="1359"/>
      <c r="C253" s="667" t="str">
        <f>'Optimalizačné opatrenia'!$B$3</f>
        <v>Sfunkčnenie</v>
      </c>
      <c r="D253" s="718" t="s">
        <v>530</v>
      </c>
      <c r="E253" s="703" t="s">
        <v>530</v>
      </c>
      <c r="F253" s="703" t="s">
        <v>530</v>
      </c>
      <c r="G253" s="703" t="str">
        <f t="shared" si="256"/>
        <v>N</v>
      </c>
      <c r="H253" s="703"/>
      <c r="I253" s="703"/>
      <c r="J253" s="703"/>
      <c r="K253" s="703"/>
      <c r="L253" s="703" t="str">
        <f t="shared" ref="L253:M253" si="311">L239</f>
        <v>N</v>
      </c>
      <c r="M253" s="703" t="str">
        <f t="shared" si="311"/>
        <v>N</v>
      </c>
      <c r="N253" s="703" t="str">
        <f t="shared" si="304"/>
        <v>N</v>
      </c>
      <c r="O253" s="703"/>
      <c r="P253" s="703" t="str">
        <f t="shared" ref="P253:Q253" si="312">P225</f>
        <v>N</v>
      </c>
      <c r="Q253" s="703" t="str">
        <f t="shared" si="312"/>
        <v>N</v>
      </c>
      <c r="R253" s="703" t="str">
        <f t="shared" si="260"/>
        <v>N</v>
      </c>
      <c r="S253" s="703" t="str">
        <f t="shared" si="306"/>
        <v>N</v>
      </c>
      <c r="T253" s="703" t="str">
        <f t="shared" si="307"/>
        <v>N</v>
      </c>
      <c r="U253" s="703" t="str">
        <f t="shared" si="263"/>
        <v>N</v>
      </c>
      <c r="V253" s="703" t="str">
        <f t="shared" si="264"/>
        <v>N</v>
      </c>
      <c r="W253" s="703" t="str">
        <f t="shared" si="308"/>
        <v>N</v>
      </c>
      <c r="X253" s="703" t="str">
        <f t="shared" si="266"/>
        <v>N</v>
      </c>
      <c r="Y253" s="703" t="str">
        <f t="shared" si="267"/>
        <v>N</v>
      </c>
      <c r="Z253" s="703" t="str">
        <f t="shared" si="309"/>
        <v>N</v>
      </c>
      <c r="AA253" s="703" t="str">
        <f t="shared" si="269"/>
        <v>N</v>
      </c>
      <c r="AB253" s="703" t="str">
        <f t="shared" si="310"/>
        <v>N</v>
      </c>
      <c r="AC253" s="703" t="str">
        <f t="shared" si="310"/>
        <v>N</v>
      </c>
      <c r="AD253" s="804"/>
      <c r="AE253" s="804"/>
      <c r="AF253" s="791"/>
      <c r="AG253" s="798"/>
      <c r="AH253" s="928"/>
      <c r="AI253" s="732"/>
      <c r="AJ253" s="733"/>
    </row>
    <row r="254" spans="1:52" hidden="1" outlineLevel="1" x14ac:dyDescent="0.25">
      <c r="A254" s="159"/>
      <c r="B254" s="1359"/>
      <c r="C254" s="667" t="str">
        <f>'Optimalizačné opatrenia'!$B$4</f>
        <v>Zjednotenie</v>
      </c>
      <c r="D254" s="718" t="s">
        <v>530</v>
      </c>
      <c r="E254" s="703" t="s">
        <v>530</v>
      </c>
      <c r="F254" s="703" t="s">
        <v>530</v>
      </c>
      <c r="G254" s="703" t="str">
        <f t="shared" si="256"/>
        <v>A</v>
      </c>
      <c r="H254" s="703"/>
      <c r="I254" s="703"/>
      <c r="J254" s="703"/>
      <c r="K254" s="703"/>
      <c r="L254" s="703" t="str">
        <f t="shared" ref="L254:M254" si="313">L240</f>
        <v>A</v>
      </c>
      <c r="M254" s="703" t="str">
        <f t="shared" si="313"/>
        <v>A</v>
      </c>
      <c r="N254" s="703" t="str">
        <f t="shared" si="304"/>
        <v>A</v>
      </c>
      <c r="O254" s="703"/>
      <c r="P254" s="703" t="str">
        <f t="shared" ref="P254:Q254" si="314">P226</f>
        <v>A</v>
      </c>
      <c r="Q254" s="703" t="str">
        <f t="shared" si="314"/>
        <v>A</v>
      </c>
      <c r="R254" s="703" t="str">
        <f t="shared" si="260"/>
        <v>A</v>
      </c>
      <c r="S254" s="703" t="str">
        <f t="shared" si="306"/>
        <v>A</v>
      </c>
      <c r="T254" s="703" t="str">
        <f t="shared" si="307"/>
        <v>A</v>
      </c>
      <c r="U254" s="703" t="str">
        <f t="shared" si="263"/>
        <v>A</v>
      </c>
      <c r="V254" s="703" t="str">
        <f t="shared" si="264"/>
        <v>A</v>
      </c>
      <c r="W254" s="703" t="str">
        <f t="shared" si="308"/>
        <v>A</v>
      </c>
      <c r="X254" s="703" t="str">
        <f t="shared" si="266"/>
        <v>A</v>
      </c>
      <c r="Y254" s="703" t="str">
        <f t="shared" si="267"/>
        <v>A</v>
      </c>
      <c r="Z254" s="703" t="str">
        <f t="shared" si="309"/>
        <v>A</v>
      </c>
      <c r="AA254" s="703" t="str">
        <f t="shared" si="269"/>
        <v>A</v>
      </c>
      <c r="AB254" s="703" t="str">
        <f t="shared" si="310"/>
        <v>A</v>
      </c>
      <c r="AC254" s="703" t="str">
        <f t="shared" si="310"/>
        <v>A</v>
      </c>
      <c r="AD254" s="804"/>
      <c r="AE254" s="804"/>
      <c r="AF254" s="791"/>
      <c r="AG254" s="798"/>
      <c r="AH254" s="928"/>
      <c r="AI254" s="732"/>
      <c r="AJ254" s="733"/>
    </row>
    <row r="255" spans="1:52" hidden="1" outlineLevel="1" x14ac:dyDescent="0.25">
      <c r="A255" s="159"/>
      <c r="B255" s="1359"/>
      <c r="C255" s="667" t="str">
        <f>'Optimalizačné opatrenia'!$B$5</f>
        <v>Centralizácia</v>
      </c>
      <c r="D255" s="718" t="s">
        <v>530</v>
      </c>
      <c r="E255" s="703" t="s">
        <v>530</v>
      </c>
      <c r="F255" s="703" t="s">
        <v>530</v>
      </c>
      <c r="G255" s="703" t="str">
        <f t="shared" si="256"/>
        <v>A</v>
      </c>
      <c r="H255" s="703"/>
      <c r="I255" s="703"/>
      <c r="J255" s="703"/>
      <c r="K255" s="703"/>
      <c r="L255" s="703" t="str">
        <f t="shared" ref="L255:M255" si="315">L241</f>
        <v>A</v>
      </c>
      <c r="M255" s="703" t="str">
        <f t="shared" si="315"/>
        <v>A</v>
      </c>
      <c r="N255" s="703" t="str">
        <f t="shared" si="304"/>
        <v>A</v>
      </c>
      <c r="O255" s="703"/>
      <c r="P255" s="703" t="str">
        <f t="shared" ref="P255:Q255" si="316">P227</f>
        <v>A</v>
      </c>
      <c r="Q255" s="703" t="str">
        <f t="shared" si="316"/>
        <v>A</v>
      </c>
      <c r="R255" s="703" t="str">
        <f t="shared" si="260"/>
        <v>A</v>
      </c>
      <c r="S255" s="703" t="str">
        <f t="shared" si="306"/>
        <v>A</v>
      </c>
      <c r="T255" s="703" t="str">
        <f t="shared" si="307"/>
        <v>A</v>
      </c>
      <c r="U255" s="703" t="str">
        <f t="shared" si="263"/>
        <v>A</v>
      </c>
      <c r="V255" s="703" t="str">
        <f t="shared" si="264"/>
        <v>A</v>
      </c>
      <c r="W255" s="703" t="str">
        <f t="shared" si="308"/>
        <v>A</v>
      </c>
      <c r="X255" s="703" t="str">
        <f t="shared" si="266"/>
        <v>A</v>
      </c>
      <c r="Y255" s="703" t="str">
        <f t="shared" si="267"/>
        <v>A</v>
      </c>
      <c r="Z255" s="703" t="str">
        <f t="shared" si="309"/>
        <v>A</v>
      </c>
      <c r="AA255" s="703" t="str">
        <f t="shared" si="269"/>
        <v>A</v>
      </c>
      <c r="AB255" s="703" t="str">
        <f t="shared" si="310"/>
        <v>A</v>
      </c>
      <c r="AC255" s="703" t="str">
        <f t="shared" si="310"/>
        <v>A</v>
      </c>
      <c r="AD255" s="804"/>
      <c r="AE255" s="804"/>
      <c r="AF255" s="791"/>
      <c r="AG255" s="798"/>
      <c r="AH255" s="928"/>
      <c r="AI255" s="732"/>
      <c r="AJ255" s="733"/>
    </row>
    <row r="256" spans="1:52" hidden="1" outlineLevel="1" x14ac:dyDescent="0.25">
      <c r="A256" s="159"/>
      <c r="B256" s="1359"/>
      <c r="C256" s="667" t="str">
        <f>'Optimalizačné opatrenia'!$B$6</f>
        <v>Elektronizácia</v>
      </c>
      <c r="D256" s="718" t="s">
        <v>530</v>
      </c>
      <c r="E256" s="703" t="s">
        <v>530</v>
      </c>
      <c r="F256" s="703" t="s">
        <v>530</v>
      </c>
      <c r="G256" s="703" t="str">
        <f t="shared" si="256"/>
        <v>A</v>
      </c>
      <c r="H256" s="703"/>
      <c r="I256" s="703"/>
      <c r="J256" s="703"/>
      <c r="K256" s="703"/>
      <c r="L256" s="703" t="str">
        <f t="shared" ref="L256:M256" si="317">L242</f>
        <v>A</v>
      </c>
      <c r="M256" s="703" t="str">
        <f t="shared" si="317"/>
        <v>A</v>
      </c>
      <c r="N256" s="703" t="str">
        <f t="shared" si="304"/>
        <v>A</v>
      </c>
      <c r="O256" s="703"/>
      <c r="P256" s="703" t="str">
        <f t="shared" ref="P256:Q256" si="318">P228</f>
        <v>A</v>
      </c>
      <c r="Q256" s="703" t="str">
        <f t="shared" si="318"/>
        <v>A</v>
      </c>
      <c r="R256" s="703" t="str">
        <f t="shared" si="260"/>
        <v>A</v>
      </c>
      <c r="S256" s="703" t="str">
        <f t="shared" si="306"/>
        <v>A</v>
      </c>
      <c r="T256" s="703" t="str">
        <f t="shared" si="307"/>
        <v>A</v>
      </c>
      <c r="U256" s="703" t="str">
        <f t="shared" si="263"/>
        <v>A</v>
      </c>
      <c r="V256" s="703" t="str">
        <f t="shared" si="264"/>
        <v>A</v>
      </c>
      <c r="W256" s="703" t="str">
        <f t="shared" si="308"/>
        <v>A</v>
      </c>
      <c r="X256" s="703" t="str">
        <f t="shared" si="266"/>
        <v>A</v>
      </c>
      <c r="Y256" s="703" t="str">
        <f t="shared" si="267"/>
        <v>A</v>
      </c>
      <c r="Z256" s="703" t="str">
        <f t="shared" si="309"/>
        <v>A</v>
      </c>
      <c r="AA256" s="703" t="str">
        <f t="shared" si="269"/>
        <v>A</v>
      </c>
      <c r="AB256" s="703" t="str">
        <f t="shared" si="310"/>
        <v>A</v>
      </c>
      <c r="AC256" s="703" t="str">
        <f t="shared" si="310"/>
        <v>A</v>
      </c>
      <c r="AD256" s="804"/>
      <c r="AE256" s="804"/>
      <c r="AF256" s="791"/>
      <c r="AG256" s="798"/>
      <c r="AH256" s="928"/>
      <c r="AI256" s="732"/>
      <c r="AJ256" s="733"/>
    </row>
    <row r="257" spans="1:52" hidden="1" outlineLevel="1" x14ac:dyDescent="0.25">
      <c r="A257" s="159"/>
      <c r="B257" s="1359"/>
      <c r="C257" s="667" t="str">
        <f>'Optimalizačné opatrenia'!$B$7</f>
        <v>Automatizácia</v>
      </c>
      <c r="D257" s="718" t="s">
        <v>530</v>
      </c>
      <c r="E257" s="703" t="s">
        <v>530</v>
      </c>
      <c r="F257" s="703" t="s">
        <v>530</v>
      </c>
      <c r="G257" s="703" t="str">
        <f t="shared" si="256"/>
        <v>A</v>
      </c>
      <c r="H257" s="703"/>
      <c r="I257" s="703"/>
      <c r="J257" s="703"/>
      <c r="K257" s="703"/>
      <c r="L257" s="703" t="str">
        <f t="shared" ref="L257:M257" si="319">L243</f>
        <v>A</v>
      </c>
      <c r="M257" s="703" t="str">
        <f t="shared" si="319"/>
        <v>A</v>
      </c>
      <c r="N257" s="703" t="str">
        <f t="shared" si="304"/>
        <v>A</v>
      </c>
      <c r="O257" s="703"/>
      <c r="P257" s="703" t="str">
        <f t="shared" ref="P257:Q257" si="320">P229</f>
        <v>A</v>
      </c>
      <c r="Q257" s="703" t="str">
        <f t="shared" si="320"/>
        <v>A</v>
      </c>
      <c r="R257" s="703" t="str">
        <f t="shared" si="260"/>
        <v>A</v>
      </c>
      <c r="S257" s="703" t="str">
        <f t="shared" si="306"/>
        <v>A</v>
      </c>
      <c r="T257" s="703" t="str">
        <f t="shared" si="307"/>
        <v>A</v>
      </c>
      <c r="U257" s="703" t="str">
        <f t="shared" si="263"/>
        <v>A</v>
      </c>
      <c r="V257" s="703" t="str">
        <f t="shared" si="264"/>
        <v>A</v>
      </c>
      <c r="W257" s="703" t="str">
        <f t="shared" si="308"/>
        <v>A</v>
      </c>
      <c r="X257" s="703" t="str">
        <f t="shared" si="266"/>
        <v>A</v>
      </c>
      <c r="Y257" s="703" t="str">
        <f t="shared" si="267"/>
        <v>A</v>
      </c>
      <c r="Z257" s="703" t="str">
        <f t="shared" si="309"/>
        <v>A</v>
      </c>
      <c r="AA257" s="703" t="str">
        <f t="shared" si="269"/>
        <v>A</v>
      </c>
      <c r="AB257" s="703" t="str">
        <f t="shared" si="310"/>
        <v>A</v>
      </c>
      <c r="AC257" s="703" t="str">
        <f t="shared" si="310"/>
        <v>A</v>
      </c>
      <c r="AD257" s="804"/>
      <c r="AE257" s="804"/>
      <c r="AF257" s="791"/>
      <c r="AG257" s="798"/>
      <c r="AH257" s="928"/>
      <c r="AI257" s="732"/>
      <c r="AJ257" s="733"/>
    </row>
    <row r="258" spans="1:52" hidden="1" outlineLevel="1" x14ac:dyDescent="0.25">
      <c r="A258" s="159"/>
      <c r="B258" s="1359"/>
      <c r="C258" s="667" t="str">
        <f>'Optimalizačné opatrenia'!$B$8</f>
        <v>Bezpečnosť</v>
      </c>
      <c r="D258" s="718" t="s">
        <v>530</v>
      </c>
      <c r="E258" s="703" t="s">
        <v>530</v>
      </c>
      <c r="F258" s="703" t="s">
        <v>530</v>
      </c>
      <c r="G258" s="703" t="str">
        <f t="shared" si="256"/>
        <v>A</v>
      </c>
      <c r="H258" s="703"/>
      <c r="I258" s="703"/>
      <c r="J258" s="703"/>
      <c r="K258" s="703"/>
      <c r="L258" s="703" t="str">
        <f t="shared" ref="L258:M258" si="321">L244</f>
        <v>A</v>
      </c>
      <c r="M258" s="703" t="str">
        <f t="shared" si="321"/>
        <v>A</v>
      </c>
      <c r="N258" s="703" t="str">
        <f t="shared" si="304"/>
        <v>A</v>
      </c>
      <c r="O258" s="703"/>
      <c r="P258" s="703" t="str">
        <f t="shared" ref="P258:Q258" si="322">P230</f>
        <v>A</v>
      </c>
      <c r="Q258" s="703" t="str">
        <f t="shared" si="322"/>
        <v>A</v>
      </c>
      <c r="R258" s="703" t="str">
        <f t="shared" si="260"/>
        <v>A</v>
      </c>
      <c r="S258" s="703" t="str">
        <f t="shared" si="306"/>
        <v>A</v>
      </c>
      <c r="T258" s="703" t="str">
        <f t="shared" si="307"/>
        <v>A</v>
      </c>
      <c r="U258" s="703" t="str">
        <f t="shared" si="263"/>
        <v>A</v>
      </c>
      <c r="V258" s="703" t="str">
        <f t="shared" si="264"/>
        <v>A</v>
      </c>
      <c r="W258" s="703" t="str">
        <f t="shared" si="308"/>
        <v>A</v>
      </c>
      <c r="X258" s="703" t="str">
        <f t="shared" si="266"/>
        <v>A</v>
      </c>
      <c r="Y258" s="703" t="str">
        <f t="shared" si="267"/>
        <v>A</v>
      </c>
      <c r="Z258" s="703" t="str">
        <f t="shared" si="309"/>
        <v>A</v>
      </c>
      <c r="AA258" s="703" t="str">
        <f t="shared" si="269"/>
        <v>A</v>
      </c>
      <c r="AB258" s="703" t="str">
        <f t="shared" si="310"/>
        <v>A</v>
      </c>
      <c r="AC258" s="703" t="str">
        <f t="shared" si="310"/>
        <v>A</v>
      </c>
      <c r="AD258" s="804"/>
      <c r="AE258" s="804"/>
      <c r="AF258" s="791"/>
      <c r="AG258" s="798"/>
      <c r="AH258" s="928"/>
      <c r="AI258" s="732"/>
      <c r="AJ258" s="733"/>
    </row>
    <row r="259" spans="1:52" hidden="1" outlineLevel="1" x14ac:dyDescent="0.25">
      <c r="A259" s="159"/>
      <c r="B259" s="1359"/>
      <c r="C259" s="667" t="str">
        <f>'Optimalizačné opatrenia'!$B$9</f>
        <v>Auditovateľnosť</v>
      </c>
      <c r="D259" s="718" t="s">
        <v>530</v>
      </c>
      <c r="E259" s="703" t="s">
        <v>530</v>
      </c>
      <c r="F259" s="703" t="s">
        <v>530</v>
      </c>
      <c r="G259" s="703" t="str">
        <f t="shared" si="256"/>
        <v>A</v>
      </c>
      <c r="H259" s="703"/>
      <c r="I259" s="703"/>
      <c r="J259" s="703"/>
      <c r="K259" s="703"/>
      <c r="L259" s="703" t="str">
        <f t="shared" ref="L259:M259" si="323">L245</f>
        <v>A</v>
      </c>
      <c r="M259" s="703" t="str">
        <f t="shared" si="323"/>
        <v>A</v>
      </c>
      <c r="N259" s="703" t="str">
        <f t="shared" si="304"/>
        <v>A</v>
      </c>
      <c r="O259" s="703"/>
      <c r="P259" s="703" t="str">
        <f t="shared" ref="P259:Q259" si="324">P231</f>
        <v>A</v>
      </c>
      <c r="Q259" s="703" t="str">
        <f t="shared" si="324"/>
        <v>A</v>
      </c>
      <c r="R259" s="703" t="str">
        <f t="shared" si="260"/>
        <v>N</v>
      </c>
      <c r="S259" s="703" t="str">
        <f t="shared" si="306"/>
        <v>N</v>
      </c>
      <c r="T259" s="703" t="str">
        <f t="shared" si="307"/>
        <v>N</v>
      </c>
      <c r="U259" s="703" t="str">
        <f t="shared" si="263"/>
        <v>A</v>
      </c>
      <c r="V259" s="703" t="str">
        <f t="shared" si="264"/>
        <v>A</v>
      </c>
      <c r="W259" s="703" t="str">
        <f t="shared" si="308"/>
        <v>A</v>
      </c>
      <c r="X259" s="703" t="str">
        <f t="shared" si="266"/>
        <v>A</v>
      </c>
      <c r="Y259" s="703" t="str">
        <f t="shared" si="267"/>
        <v>N</v>
      </c>
      <c r="Z259" s="703" t="str">
        <f t="shared" si="309"/>
        <v>N</v>
      </c>
      <c r="AA259" s="703" t="str">
        <f t="shared" si="269"/>
        <v>A</v>
      </c>
      <c r="AB259" s="703" t="str">
        <f t="shared" si="310"/>
        <v>N</v>
      </c>
      <c r="AC259" s="703" t="str">
        <f t="shared" si="310"/>
        <v>N</v>
      </c>
      <c r="AD259" s="804"/>
      <c r="AE259" s="804"/>
      <c r="AF259" s="791"/>
      <c r="AG259" s="798"/>
      <c r="AH259" s="928"/>
      <c r="AI259" s="732"/>
      <c r="AJ259" s="733"/>
    </row>
    <row r="260" spans="1:52" hidden="1" outlineLevel="1" x14ac:dyDescent="0.25">
      <c r="A260" s="159"/>
      <c r="B260" s="1359"/>
      <c r="C260" s="667" t="str">
        <f>'Optimalizačné opatrenia'!$B$10</f>
        <v>Transparentnosť</v>
      </c>
      <c r="D260" s="718" t="s">
        <v>530</v>
      </c>
      <c r="E260" s="703" t="s">
        <v>530</v>
      </c>
      <c r="F260" s="703" t="s">
        <v>530</v>
      </c>
      <c r="G260" s="703" t="str">
        <f t="shared" si="256"/>
        <v>N</v>
      </c>
      <c r="H260" s="703"/>
      <c r="I260" s="703"/>
      <c r="J260" s="703"/>
      <c r="K260" s="703"/>
      <c r="L260" s="703" t="str">
        <f t="shared" ref="L260:M260" si="325">L246</f>
        <v>N</v>
      </c>
      <c r="M260" s="703" t="str">
        <f t="shared" si="325"/>
        <v>N</v>
      </c>
      <c r="N260" s="703" t="str">
        <f t="shared" si="304"/>
        <v>N</v>
      </c>
      <c r="O260" s="703"/>
      <c r="P260" s="703" t="str">
        <f t="shared" ref="P260:Q260" si="326">P232</f>
        <v>A</v>
      </c>
      <c r="Q260" s="703" t="str">
        <f t="shared" si="326"/>
        <v>N</v>
      </c>
      <c r="R260" s="703" t="str">
        <f t="shared" si="260"/>
        <v>N</v>
      </c>
      <c r="S260" s="703" t="str">
        <f t="shared" si="306"/>
        <v>N</v>
      </c>
      <c r="T260" s="703" t="str">
        <f t="shared" si="307"/>
        <v>N</v>
      </c>
      <c r="U260" s="703" t="str">
        <f t="shared" si="263"/>
        <v>N</v>
      </c>
      <c r="V260" s="703" t="str">
        <f t="shared" si="264"/>
        <v>A</v>
      </c>
      <c r="W260" s="703" t="str">
        <f t="shared" si="308"/>
        <v>N</v>
      </c>
      <c r="X260" s="703" t="str">
        <f t="shared" si="266"/>
        <v>N</v>
      </c>
      <c r="Y260" s="703" t="str">
        <f t="shared" si="267"/>
        <v>N</v>
      </c>
      <c r="Z260" s="703" t="str">
        <f t="shared" si="309"/>
        <v>N</v>
      </c>
      <c r="AA260" s="703" t="str">
        <f t="shared" si="269"/>
        <v>A</v>
      </c>
      <c r="AB260" s="703" t="str">
        <f t="shared" si="310"/>
        <v>N</v>
      </c>
      <c r="AC260" s="703" t="str">
        <f t="shared" si="310"/>
        <v>N</v>
      </c>
      <c r="AD260" s="804"/>
      <c r="AE260" s="804"/>
      <c r="AF260" s="791"/>
      <c r="AG260" s="798"/>
      <c r="AH260" s="928"/>
      <c r="AI260" s="732"/>
      <c r="AJ260" s="733"/>
    </row>
    <row r="261" spans="1:52" hidden="1" outlineLevel="1" x14ac:dyDescent="0.25">
      <c r="A261" s="159"/>
      <c r="B261" s="1359"/>
      <c r="C261" s="667" t="str">
        <f>'Optimalizačné opatrenia'!$B$11</f>
        <v>Analyzovatelnosť</v>
      </c>
      <c r="D261" s="718" t="s">
        <v>530</v>
      </c>
      <c r="E261" s="703" t="s">
        <v>530</v>
      </c>
      <c r="F261" s="703" t="s">
        <v>530</v>
      </c>
      <c r="G261" s="703" t="str">
        <f t="shared" si="256"/>
        <v>A</v>
      </c>
      <c r="H261" s="703"/>
      <c r="I261" s="703"/>
      <c r="J261" s="703"/>
      <c r="K261" s="703"/>
      <c r="L261" s="703" t="str">
        <f t="shared" ref="L261:M261" si="327">L247</f>
        <v>A</v>
      </c>
      <c r="M261" s="703" t="str">
        <f t="shared" si="327"/>
        <v>A</v>
      </c>
      <c r="N261" s="703" t="str">
        <f t="shared" si="304"/>
        <v>A</v>
      </c>
      <c r="O261" s="703"/>
      <c r="P261" s="703" t="str">
        <f t="shared" ref="P261:Q261" si="328">P233</f>
        <v>A</v>
      </c>
      <c r="Q261" s="703" t="str">
        <f t="shared" si="328"/>
        <v>A</v>
      </c>
      <c r="R261" s="703" t="str">
        <f t="shared" si="260"/>
        <v>N</v>
      </c>
      <c r="S261" s="703" t="str">
        <f t="shared" si="306"/>
        <v>N</v>
      </c>
      <c r="T261" s="703" t="str">
        <f t="shared" si="307"/>
        <v>N</v>
      </c>
      <c r="U261" s="703" t="str">
        <f t="shared" si="263"/>
        <v>A</v>
      </c>
      <c r="V261" s="703" t="str">
        <f t="shared" si="264"/>
        <v>A</v>
      </c>
      <c r="W261" s="703" t="str">
        <f t="shared" si="308"/>
        <v>A</v>
      </c>
      <c r="X261" s="703" t="str">
        <f t="shared" si="266"/>
        <v>A</v>
      </c>
      <c r="Y261" s="703" t="str">
        <f t="shared" si="267"/>
        <v>N</v>
      </c>
      <c r="Z261" s="703" t="str">
        <f t="shared" si="309"/>
        <v>N</v>
      </c>
      <c r="AA261" s="703" t="str">
        <f t="shared" si="269"/>
        <v>A</v>
      </c>
      <c r="AB261" s="703" t="str">
        <f t="shared" si="310"/>
        <v>N</v>
      </c>
      <c r="AC261" s="703" t="str">
        <f t="shared" si="310"/>
        <v>N</v>
      </c>
      <c r="AD261" s="804"/>
      <c r="AE261" s="804"/>
      <c r="AF261" s="791"/>
      <c r="AG261" s="798"/>
      <c r="AH261" s="928"/>
      <c r="AI261" s="732"/>
      <c r="AJ261" s="733"/>
    </row>
    <row r="262" spans="1:52" hidden="1" outlineLevel="1" x14ac:dyDescent="0.25">
      <c r="A262" s="159"/>
      <c r="B262" s="1359"/>
      <c r="C262" s="667" t="str">
        <f>'Optimalizačné opatrenia'!$B$12</f>
        <v>Integrácia</v>
      </c>
      <c r="D262" s="718" t="s">
        <v>530</v>
      </c>
      <c r="E262" s="703" t="s">
        <v>530</v>
      </c>
      <c r="F262" s="703" t="s">
        <v>530</v>
      </c>
      <c r="G262" s="703" t="str">
        <f t="shared" si="256"/>
        <v>A</v>
      </c>
      <c r="H262" s="703"/>
      <c r="I262" s="703"/>
      <c r="J262" s="703"/>
      <c r="K262" s="703"/>
      <c r="L262" s="703" t="str">
        <f t="shared" ref="L262:M262" si="329">L248</f>
        <v>A</v>
      </c>
      <c r="M262" s="703" t="str">
        <f t="shared" si="329"/>
        <v>A</v>
      </c>
      <c r="N262" s="703" t="str">
        <f t="shared" si="304"/>
        <v>A</v>
      </c>
      <c r="O262" s="703"/>
      <c r="P262" s="703" t="str">
        <f t="shared" ref="P262:Q262" si="330">P234</f>
        <v>A</v>
      </c>
      <c r="Q262" s="703" t="str">
        <f t="shared" si="330"/>
        <v>A</v>
      </c>
      <c r="R262" s="703" t="str">
        <f t="shared" si="260"/>
        <v>A</v>
      </c>
      <c r="S262" s="703" t="str">
        <f t="shared" si="306"/>
        <v>A</v>
      </c>
      <c r="T262" s="703" t="str">
        <f t="shared" si="307"/>
        <v>A</v>
      </c>
      <c r="U262" s="703" t="str">
        <f t="shared" si="263"/>
        <v>A</v>
      </c>
      <c r="V262" s="703" t="str">
        <f t="shared" si="264"/>
        <v>A</v>
      </c>
      <c r="W262" s="703" t="str">
        <f t="shared" si="308"/>
        <v>A</v>
      </c>
      <c r="X262" s="703" t="str">
        <f t="shared" si="266"/>
        <v>A</v>
      </c>
      <c r="Y262" s="703" t="str">
        <f t="shared" si="267"/>
        <v>A</v>
      </c>
      <c r="Z262" s="703" t="str">
        <f t="shared" si="309"/>
        <v>A</v>
      </c>
      <c r="AA262" s="703" t="str">
        <f t="shared" si="269"/>
        <v>A</v>
      </c>
      <c r="AB262" s="703" t="str">
        <f t="shared" si="310"/>
        <v>A</v>
      </c>
      <c r="AC262" s="703" t="str">
        <f t="shared" si="310"/>
        <v>A</v>
      </c>
      <c r="AD262" s="804"/>
      <c r="AE262" s="804"/>
      <c r="AF262" s="791"/>
      <c r="AG262" s="798"/>
      <c r="AH262" s="928"/>
      <c r="AI262" s="732"/>
      <c r="AJ262" s="733"/>
    </row>
    <row r="263" spans="1:52" hidden="1" outlineLevel="1" x14ac:dyDescent="0.25">
      <c r="A263" s="159"/>
      <c r="B263" s="1359"/>
      <c r="C263" s="672" t="str">
        <f>'Optimalizačné opatrenia'!$B$13</f>
        <v>Proaktivita</v>
      </c>
      <c r="D263" s="718" t="s">
        <v>530</v>
      </c>
      <c r="E263" s="703" t="s">
        <v>530</v>
      </c>
      <c r="F263" s="703" t="s">
        <v>530</v>
      </c>
      <c r="G263" s="703" t="str">
        <f t="shared" si="256"/>
        <v>N</v>
      </c>
      <c r="H263" s="703"/>
      <c r="I263" s="703"/>
      <c r="J263" s="703"/>
      <c r="K263" s="703"/>
      <c r="L263" s="703" t="str">
        <f t="shared" ref="L263:M263" si="331">L249</f>
        <v>A</v>
      </c>
      <c r="M263" s="703" t="str">
        <f t="shared" si="331"/>
        <v>N</v>
      </c>
      <c r="N263" s="703" t="str">
        <f t="shared" si="304"/>
        <v>N</v>
      </c>
      <c r="O263" s="703"/>
      <c r="P263" s="703" t="str">
        <f t="shared" ref="P263:Q263" si="332">P235</f>
        <v>N</v>
      </c>
      <c r="Q263" s="703" t="str">
        <f t="shared" si="332"/>
        <v>N</v>
      </c>
      <c r="R263" s="703" t="str">
        <f t="shared" si="260"/>
        <v>A</v>
      </c>
      <c r="S263" s="703" t="str">
        <f t="shared" si="306"/>
        <v>A</v>
      </c>
      <c r="T263" s="703" t="str">
        <f t="shared" si="307"/>
        <v>A</v>
      </c>
      <c r="U263" s="703" t="str">
        <f t="shared" si="263"/>
        <v>N</v>
      </c>
      <c r="V263" s="703" t="str">
        <f t="shared" si="264"/>
        <v>A</v>
      </c>
      <c r="W263" s="703" t="str">
        <f t="shared" si="308"/>
        <v>N</v>
      </c>
      <c r="X263" s="703" t="str">
        <f t="shared" si="266"/>
        <v>N</v>
      </c>
      <c r="Y263" s="703" t="str">
        <f t="shared" si="267"/>
        <v>A</v>
      </c>
      <c r="Z263" s="703" t="str">
        <f t="shared" si="309"/>
        <v>A</v>
      </c>
      <c r="AA263" s="703" t="str">
        <f t="shared" si="269"/>
        <v>A</v>
      </c>
      <c r="AB263" s="703" t="str">
        <f t="shared" si="310"/>
        <v>A</v>
      </c>
      <c r="AC263" s="703" t="str">
        <f t="shared" si="310"/>
        <v>A</v>
      </c>
      <c r="AD263" s="804"/>
      <c r="AE263" s="804"/>
      <c r="AF263" s="791"/>
      <c r="AG263" s="798"/>
      <c r="AH263" s="928"/>
      <c r="AI263" s="732"/>
      <c r="AJ263" s="733"/>
    </row>
    <row r="264" spans="1:52" hidden="1" outlineLevel="1" x14ac:dyDescent="0.25">
      <c r="A264" s="159"/>
      <c r="B264" s="720"/>
      <c r="C264" s="722" t="s">
        <v>538</v>
      </c>
      <c r="D264" s="723">
        <v>0</v>
      </c>
      <c r="E264" s="721">
        <v>0</v>
      </c>
      <c r="F264" s="724">
        <v>0</v>
      </c>
      <c r="G264" s="724">
        <f t="shared" si="256"/>
        <v>0.3</v>
      </c>
      <c r="H264" s="724"/>
      <c r="I264" s="724"/>
      <c r="J264" s="724"/>
      <c r="K264" s="724"/>
      <c r="L264" s="724">
        <f t="shared" ref="L264:M264" si="333">L250</f>
        <v>0.4</v>
      </c>
      <c r="M264" s="724">
        <f t="shared" si="333"/>
        <v>0.3</v>
      </c>
      <c r="N264" s="724">
        <f t="shared" si="304"/>
        <v>0.3</v>
      </c>
      <c r="O264" s="724"/>
      <c r="P264" s="724">
        <f t="shared" ref="P264:Q264" si="334">P236</f>
        <v>0.45</v>
      </c>
      <c r="Q264" s="724">
        <f t="shared" si="334"/>
        <v>0.3</v>
      </c>
      <c r="R264" s="724">
        <f t="shared" si="260"/>
        <v>0.25</v>
      </c>
      <c r="S264" s="724">
        <f t="shared" si="306"/>
        <v>0.25</v>
      </c>
      <c r="T264" s="724">
        <f t="shared" si="307"/>
        <v>0.25</v>
      </c>
      <c r="U264" s="724">
        <f t="shared" si="263"/>
        <v>0.3</v>
      </c>
      <c r="V264" s="724">
        <f t="shared" si="264"/>
        <v>0.5</v>
      </c>
      <c r="W264" s="724">
        <f t="shared" si="308"/>
        <v>0.3</v>
      </c>
      <c r="X264" s="724">
        <f t="shared" si="266"/>
        <v>0.3</v>
      </c>
      <c r="Y264" s="724">
        <f t="shared" si="267"/>
        <v>0.25</v>
      </c>
      <c r="Z264" s="724">
        <f t="shared" si="309"/>
        <v>0.25</v>
      </c>
      <c r="AA264" s="724">
        <f t="shared" si="269"/>
        <v>0.5</v>
      </c>
      <c r="AB264" s="724">
        <f t="shared" si="310"/>
        <v>0.25</v>
      </c>
      <c r="AC264" s="724">
        <f t="shared" si="310"/>
        <v>0.25</v>
      </c>
      <c r="AD264" s="805"/>
      <c r="AE264" s="805"/>
      <c r="AF264" s="792"/>
      <c r="AG264" s="799"/>
      <c r="AH264" s="929"/>
      <c r="AI264" s="735"/>
      <c r="AJ264" s="736"/>
    </row>
    <row r="265" spans="1:52" ht="45" collapsed="1" x14ac:dyDescent="0.25">
      <c r="A265" s="159">
        <f ca="1">OFFSET(A265,-14,0)+1</f>
        <v>19</v>
      </c>
      <c r="B265" s="234" t="str">
        <f ca="1">'Procesy - AS IS'!B65</f>
        <v>Meranie č. 19</v>
      </c>
      <c r="C265" s="650" t="str">
        <f>'Procesy - AS IS'!C65</f>
        <v>ENVI-PACK, a.s., Bratislava, Kontrola povinností rozšírenej zodpovednosti výrobcov, 7209/2017</v>
      </c>
      <c r="D265" s="726">
        <f>-'Procesy - AS IS'!D67*D278</f>
        <v>0</v>
      </c>
      <c r="E265" s="653">
        <f>-'Procesy - AS IS'!E67*E278</f>
        <v>0</v>
      </c>
      <c r="F265" s="653">
        <f>-'Procesy - AS IS'!F67*F278</f>
        <v>0</v>
      </c>
      <c r="G265" s="653">
        <f>-'Procesy - AS IS'!G67*G278</f>
        <v>-7.1999999999999993</v>
      </c>
      <c r="H265" s="653" t="s">
        <v>555</v>
      </c>
      <c r="I265" s="653" t="s">
        <v>555</v>
      </c>
      <c r="J265" s="653" t="s">
        <v>555</v>
      </c>
      <c r="K265" s="653" t="s">
        <v>555</v>
      </c>
      <c r="L265" s="653">
        <f>-'Procesy - AS IS'!L67*L278</f>
        <v>-0.2</v>
      </c>
      <c r="M265" s="653">
        <f>-'Procesy - AS IS'!M67*M278</f>
        <v>-3.5999999999999996</v>
      </c>
      <c r="N265" s="653">
        <f>-'Procesy - AS IS'!N67*N278</f>
        <v>0</v>
      </c>
      <c r="O265" s="653" t="s">
        <v>559</v>
      </c>
      <c r="P265" s="653">
        <f>-'Procesy - AS IS'!P67*P278</f>
        <v>-18</v>
      </c>
      <c r="Q265" s="653">
        <f>-'Procesy - AS IS'!Q67*Q278</f>
        <v>0</v>
      </c>
      <c r="R265" s="653">
        <f>-'Procesy - AS IS'!R67*R278</f>
        <v>-10.517542680467804</v>
      </c>
      <c r="S265" s="653">
        <f>-'Procesy - AS IS'!S67*S278</f>
        <v>-19.482457319532195</v>
      </c>
      <c r="T265" s="653">
        <f>-'Procesy - AS IS'!T67*T278</f>
        <v>-3.5058475601559347</v>
      </c>
      <c r="U265" s="653">
        <f>-'Procesy - AS IS'!U67*U278</f>
        <v>-7.7929829278128775</v>
      </c>
      <c r="V265" s="653">
        <f>-'Procesy - AS IS'!V67*V278</f>
        <v>-0.5</v>
      </c>
      <c r="W265" s="653">
        <f>-'Procesy - AS IS'!W67*W278</f>
        <v>0</v>
      </c>
      <c r="X265" s="653">
        <f>-'Procesy - AS IS'!X67*X278</f>
        <v>0</v>
      </c>
      <c r="Y265" s="653">
        <f>-'Procesy - AS IS'!Y67*Y278</f>
        <v>0</v>
      </c>
      <c r="Z265" s="653">
        <f>-'Procesy - AS IS'!Z67*Z278</f>
        <v>0</v>
      </c>
      <c r="AA265" s="653">
        <f>-'Procesy - AS IS'!AA67*AA278</f>
        <v>0</v>
      </c>
      <c r="AB265" s="653">
        <f>-'Procesy - AS IS'!AB67*AB278</f>
        <v>0</v>
      </c>
      <c r="AC265" s="653">
        <f>-'Procesy - AS IS'!AC67*AC278</f>
        <v>0</v>
      </c>
      <c r="AD265" s="754"/>
      <c r="AE265" s="754">
        <f>SUM(D265:AC265)</f>
        <v>-70.798830487968814</v>
      </c>
      <c r="AF265" s="728">
        <f>AE265/'Procesy - AS IS'!AD67</f>
        <v>-0.29810033889671078</v>
      </c>
      <c r="AG265" s="797">
        <f>('Procesy - AS IS'!AG64/(1+$AF265)-'Procesy - AS IS'!AG64)/2</f>
        <v>18.262317654363791</v>
      </c>
      <c r="AH265" s="927">
        <f>('Procesy - AS IS'!AH64/(1+$AF265)-'Procesy - AS IS'!AH64)/2</f>
        <v>6.4024901791343929</v>
      </c>
      <c r="AI265" s="730">
        <f>('Procesy - AS IS'!AI64/(1+$AF265)-'Procesy - AS IS'!AI64)/2</f>
        <v>3.8223455555645138</v>
      </c>
      <c r="AJ265" s="731">
        <f>('Procesy - AS IS'!AJ64/(1+$AF265)-'Procesy - AS IS'!AJ64)/2</f>
        <v>0.42470506172939038</v>
      </c>
      <c r="AL265" s="232"/>
      <c r="AZ265" s="227"/>
    </row>
    <row r="266" spans="1:52" hidden="1" outlineLevel="1" x14ac:dyDescent="0.25">
      <c r="A266" s="159"/>
      <c r="B266" s="1358" t="s">
        <v>528</v>
      </c>
      <c r="C266" s="667" t="str">
        <f>'Optimalizačné opatrenia'!$B$2</f>
        <v>Modernizácia</v>
      </c>
      <c r="D266" s="673" t="s">
        <v>530</v>
      </c>
      <c r="E266" s="674" t="s">
        <v>530</v>
      </c>
      <c r="F266" s="703" t="s">
        <v>530</v>
      </c>
      <c r="G266" s="703" t="str">
        <f t="shared" ref="G266:G278" si="335">G196</f>
        <v>A</v>
      </c>
      <c r="H266" s="703"/>
      <c r="I266" s="703"/>
      <c r="J266" s="703"/>
      <c r="K266" s="703"/>
      <c r="L266" s="703" t="str">
        <f t="shared" ref="L266:M278" si="336">L224</f>
        <v>A</v>
      </c>
      <c r="M266" s="703" t="str">
        <f t="shared" si="336"/>
        <v>A</v>
      </c>
      <c r="N266" s="703" t="s">
        <v>530</v>
      </c>
      <c r="O266" s="703"/>
      <c r="P266" s="703" t="str">
        <f t="shared" ref="P266:R278" si="337">P196</f>
        <v>A</v>
      </c>
      <c r="Q266" s="703" t="str">
        <f t="shared" si="337"/>
        <v>A</v>
      </c>
      <c r="R266" s="703" t="str">
        <f t="shared" si="337"/>
        <v>A</v>
      </c>
      <c r="S266" s="703" t="str">
        <f t="shared" ref="S266:S278" si="338">R266</f>
        <v>A</v>
      </c>
      <c r="T266" s="703" t="str">
        <f t="shared" ref="T266:T278" si="339">R266</f>
        <v>A</v>
      </c>
      <c r="U266" s="703" t="str">
        <f t="shared" ref="U266:U278" si="340">G224</f>
        <v>A</v>
      </c>
      <c r="V266" s="703" t="str">
        <f t="shared" ref="V266:V278" si="341">V196</f>
        <v>A</v>
      </c>
      <c r="W266" s="703" t="str">
        <f t="shared" ref="W266:W278" si="342">W10</f>
        <v>A</v>
      </c>
      <c r="X266" s="703" t="str">
        <f t="shared" ref="X266:X278" si="343">G266</f>
        <v>A</v>
      </c>
      <c r="Y266" s="703" t="str">
        <f t="shared" ref="Y266:Y278" si="344">R266</f>
        <v>A</v>
      </c>
      <c r="Z266" s="703" t="str">
        <f t="shared" ref="Z266:Z278" si="345">R266</f>
        <v>A</v>
      </c>
      <c r="AA266" s="703" t="str">
        <f t="shared" ref="AA266:AA278" si="346">$V266</f>
        <v>A</v>
      </c>
      <c r="AB266" s="703" t="str">
        <f t="shared" ref="AB266:AB278" si="347">G266</f>
        <v>A</v>
      </c>
      <c r="AC266" s="703" t="str">
        <f t="shared" ref="AC266:AC278" si="348">R266</f>
        <v>A</v>
      </c>
      <c r="AD266" s="804"/>
      <c r="AE266" s="804"/>
      <c r="AF266" s="791"/>
      <c r="AG266" s="798"/>
      <c r="AH266" s="928"/>
      <c r="AI266" s="732"/>
      <c r="AJ266" s="733"/>
    </row>
    <row r="267" spans="1:52" hidden="1" outlineLevel="1" x14ac:dyDescent="0.25">
      <c r="A267" s="159"/>
      <c r="B267" s="1359"/>
      <c r="C267" s="667" t="str">
        <f>'Optimalizačné opatrenia'!$B$3</f>
        <v>Sfunkčnenie</v>
      </c>
      <c r="D267" s="718" t="s">
        <v>530</v>
      </c>
      <c r="E267" s="703" t="s">
        <v>530</v>
      </c>
      <c r="F267" s="703" t="s">
        <v>530</v>
      </c>
      <c r="G267" s="703" t="str">
        <f t="shared" si="335"/>
        <v>N</v>
      </c>
      <c r="H267" s="703"/>
      <c r="I267" s="703"/>
      <c r="J267" s="703"/>
      <c r="K267" s="703"/>
      <c r="L267" s="703" t="str">
        <f t="shared" si="336"/>
        <v>N</v>
      </c>
      <c r="M267" s="703" t="str">
        <f t="shared" si="336"/>
        <v>N</v>
      </c>
      <c r="N267" s="703" t="s">
        <v>530</v>
      </c>
      <c r="O267" s="703"/>
      <c r="P267" s="703" t="str">
        <f t="shared" si="337"/>
        <v>N</v>
      </c>
      <c r="Q267" s="703" t="str">
        <f t="shared" si="337"/>
        <v>N</v>
      </c>
      <c r="R267" s="703" t="str">
        <f t="shared" si="337"/>
        <v>N</v>
      </c>
      <c r="S267" s="703" t="str">
        <f t="shared" si="338"/>
        <v>N</v>
      </c>
      <c r="T267" s="703" t="str">
        <f t="shared" si="339"/>
        <v>N</v>
      </c>
      <c r="U267" s="703" t="str">
        <f t="shared" si="340"/>
        <v>N</v>
      </c>
      <c r="V267" s="703" t="str">
        <f t="shared" si="341"/>
        <v>N</v>
      </c>
      <c r="W267" s="703" t="str">
        <f t="shared" si="342"/>
        <v>N</v>
      </c>
      <c r="X267" s="703" t="str">
        <f t="shared" si="343"/>
        <v>N</v>
      </c>
      <c r="Y267" s="703" t="str">
        <f t="shared" si="344"/>
        <v>N</v>
      </c>
      <c r="Z267" s="703" t="str">
        <f t="shared" si="345"/>
        <v>N</v>
      </c>
      <c r="AA267" s="703" t="str">
        <f t="shared" si="346"/>
        <v>N</v>
      </c>
      <c r="AB267" s="703" t="str">
        <f t="shared" si="347"/>
        <v>N</v>
      </c>
      <c r="AC267" s="703" t="str">
        <f t="shared" si="348"/>
        <v>N</v>
      </c>
      <c r="AD267" s="804"/>
      <c r="AE267" s="804"/>
      <c r="AF267" s="791"/>
      <c r="AG267" s="798"/>
      <c r="AH267" s="928"/>
      <c r="AI267" s="732"/>
      <c r="AJ267" s="733"/>
    </row>
    <row r="268" spans="1:52" hidden="1" outlineLevel="1" x14ac:dyDescent="0.25">
      <c r="A268" s="159"/>
      <c r="B268" s="1359"/>
      <c r="C268" s="667" t="str">
        <f>'Optimalizačné opatrenia'!$B$4</f>
        <v>Zjednotenie</v>
      </c>
      <c r="D268" s="718" t="s">
        <v>530</v>
      </c>
      <c r="E268" s="703" t="s">
        <v>530</v>
      </c>
      <c r="F268" s="703" t="s">
        <v>530</v>
      </c>
      <c r="G268" s="703" t="str">
        <f t="shared" si="335"/>
        <v>A</v>
      </c>
      <c r="H268" s="703"/>
      <c r="I268" s="703"/>
      <c r="J268" s="703"/>
      <c r="K268" s="703"/>
      <c r="L268" s="703" t="str">
        <f t="shared" si="336"/>
        <v>A</v>
      </c>
      <c r="M268" s="703" t="str">
        <f t="shared" si="336"/>
        <v>A</v>
      </c>
      <c r="N268" s="703" t="s">
        <v>530</v>
      </c>
      <c r="O268" s="703"/>
      <c r="P268" s="703" t="str">
        <f t="shared" si="337"/>
        <v>A</v>
      </c>
      <c r="Q268" s="703" t="str">
        <f t="shared" si="337"/>
        <v>A</v>
      </c>
      <c r="R268" s="703" t="str">
        <f t="shared" si="337"/>
        <v>A</v>
      </c>
      <c r="S268" s="703" t="str">
        <f t="shared" si="338"/>
        <v>A</v>
      </c>
      <c r="T268" s="703" t="str">
        <f t="shared" si="339"/>
        <v>A</v>
      </c>
      <c r="U268" s="703" t="str">
        <f t="shared" si="340"/>
        <v>A</v>
      </c>
      <c r="V268" s="703" t="str">
        <f t="shared" si="341"/>
        <v>A</v>
      </c>
      <c r="W268" s="703" t="str">
        <f t="shared" si="342"/>
        <v>A</v>
      </c>
      <c r="X268" s="703" t="str">
        <f t="shared" si="343"/>
        <v>A</v>
      </c>
      <c r="Y268" s="703" t="str">
        <f t="shared" si="344"/>
        <v>A</v>
      </c>
      <c r="Z268" s="703" t="str">
        <f t="shared" si="345"/>
        <v>A</v>
      </c>
      <c r="AA268" s="703" t="str">
        <f t="shared" si="346"/>
        <v>A</v>
      </c>
      <c r="AB268" s="703" t="str">
        <f t="shared" si="347"/>
        <v>A</v>
      </c>
      <c r="AC268" s="703" t="str">
        <f t="shared" si="348"/>
        <v>A</v>
      </c>
      <c r="AD268" s="804"/>
      <c r="AE268" s="804"/>
      <c r="AF268" s="791"/>
      <c r="AG268" s="798"/>
      <c r="AH268" s="928"/>
      <c r="AI268" s="732"/>
      <c r="AJ268" s="733"/>
    </row>
    <row r="269" spans="1:52" hidden="1" outlineLevel="1" x14ac:dyDescent="0.25">
      <c r="A269" s="159"/>
      <c r="B269" s="1359"/>
      <c r="C269" s="667" t="str">
        <f>'Optimalizačné opatrenia'!$B$5</f>
        <v>Centralizácia</v>
      </c>
      <c r="D269" s="718" t="s">
        <v>530</v>
      </c>
      <c r="E269" s="703" t="s">
        <v>530</v>
      </c>
      <c r="F269" s="703" t="s">
        <v>530</v>
      </c>
      <c r="G269" s="703" t="str">
        <f t="shared" si="335"/>
        <v>A</v>
      </c>
      <c r="H269" s="703"/>
      <c r="I269" s="703"/>
      <c r="J269" s="703"/>
      <c r="K269" s="703"/>
      <c r="L269" s="703" t="str">
        <f t="shared" si="336"/>
        <v>A</v>
      </c>
      <c r="M269" s="703" t="str">
        <f t="shared" si="336"/>
        <v>A</v>
      </c>
      <c r="N269" s="703" t="s">
        <v>530</v>
      </c>
      <c r="O269" s="703"/>
      <c r="P269" s="703" t="str">
        <f t="shared" si="337"/>
        <v>A</v>
      </c>
      <c r="Q269" s="703" t="str">
        <f t="shared" si="337"/>
        <v>A</v>
      </c>
      <c r="R269" s="703" t="str">
        <f t="shared" si="337"/>
        <v>A</v>
      </c>
      <c r="S269" s="703" t="str">
        <f t="shared" si="338"/>
        <v>A</v>
      </c>
      <c r="T269" s="703" t="str">
        <f t="shared" si="339"/>
        <v>A</v>
      </c>
      <c r="U269" s="703" t="str">
        <f t="shared" si="340"/>
        <v>A</v>
      </c>
      <c r="V269" s="703" t="str">
        <f t="shared" si="341"/>
        <v>A</v>
      </c>
      <c r="W269" s="703" t="str">
        <f t="shared" si="342"/>
        <v>A</v>
      </c>
      <c r="X269" s="703" t="str">
        <f t="shared" si="343"/>
        <v>A</v>
      </c>
      <c r="Y269" s="703" t="str">
        <f t="shared" si="344"/>
        <v>A</v>
      </c>
      <c r="Z269" s="703" t="str">
        <f t="shared" si="345"/>
        <v>A</v>
      </c>
      <c r="AA269" s="703" t="str">
        <f t="shared" si="346"/>
        <v>A</v>
      </c>
      <c r="AB269" s="703" t="str">
        <f t="shared" si="347"/>
        <v>A</v>
      </c>
      <c r="AC269" s="703" t="str">
        <f t="shared" si="348"/>
        <v>A</v>
      </c>
      <c r="AD269" s="804"/>
      <c r="AE269" s="804"/>
      <c r="AF269" s="791"/>
      <c r="AG269" s="798"/>
      <c r="AH269" s="928"/>
      <c r="AI269" s="732"/>
      <c r="AJ269" s="733"/>
    </row>
    <row r="270" spans="1:52" hidden="1" outlineLevel="1" x14ac:dyDescent="0.25">
      <c r="A270" s="159"/>
      <c r="B270" s="1359"/>
      <c r="C270" s="667" t="str">
        <f>'Optimalizačné opatrenia'!$B$6</f>
        <v>Elektronizácia</v>
      </c>
      <c r="D270" s="718" t="s">
        <v>530</v>
      </c>
      <c r="E270" s="703" t="s">
        <v>530</v>
      </c>
      <c r="F270" s="703" t="s">
        <v>530</v>
      </c>
      <c r="G270" s="703" t="str">
        <f t="shared" si="335"/>
        <v>A</v>
      </c>
      <c r="H270" s="703"/>
      <c r="I270" s="703"/>
      <c r="J270" s="703"/>
      <c r="K270" s="703"/>
      <c r="L270" s="703" t="str">
        <f t="shared" si="336"/>
        <v>A</v>
      </c>
      <c r="M270" s="703" t="str">
        <f t="shared" si="336"/>
        <v>A</v>
      </c>
      <c r="N270" s="703" t="s">
        <v>530</v>
      </c>
      <c r="O270" s="703"/>
      <c r="P270" s="703" t="str">
        <f t="shared" si="337"/>
        <v>A</v>
      </c>
      <c r="Q270" s="703" t="str">
        <f t="shared" si="337"/>
        <v>A</v>
      </c>
      <c r="R270" s="703" t="str">
        <f t="shared" si="337"/>
        <v>A</v>
      </c>
      <c r="S270" s="703" t="str">
        <f t="shared" si="338"/>
        <v>A</v>
      </c>
      <c r="T270" s="703" t="str">
        <f t="shared" si="339"/>
        <v>A</v>
      </c>
      <c r="U270" s="703" t="str">
        <f t="shared" si="340"/>
        <v>A</v>
      </c>
      <c r="V270" s="703" t="str">
        <f t="shared" si="341"/>
        <v>A</v>
      </c>
      <c r="W270" s="703" t="str">
        <f t="shared" si="342"/>
        <v>A</v>
      </c>
      <c r="X270" s="703" t="str">
        <f t="shared" si="343"/>
        <v>A</v>
      </c>
      <c r="Y270" s="703" t="str">
        <f t="shared" si="344"/>
        <v>A</v>
      </c>
      <c r="Z270" s="703" t="str">
        <f t="shared" si="345"/>
        <v>A</v>
      </c>
      <c r="AA270" s="703" t="str">
        <f t="shared" si="346"/>
        <v>A</v>
      </c>
      <c r="AB270" s="703" t="str">
        <f t="shared" si="347"/>
        <v>A</v>
      </c>
      <c r="AC270" s="703" t="str">
        <f t="shared" si="348"/>
        <v>A</v>
      </c>
      <c r="AD270" s="804"/>
      <c r="AE270" s="804"/>
      <c r="AF270" s="791"/>
      <c r="AG270" s="798"/>
      <c r="AH270" s="928"/>
      <c r="AI270" s="732"/>
      <c r="AJ270" s="733"/>
    </row>
    <row r="271" spans="1:52" hidden="1" outlineLevel="1" x14ac:dyDescent="0.25">
      <c r="A271" s="159"/>
      <c r="B271" s="1359"/>
      <c r="C271" s="667" t="str">
        <f>'Optimalizačné opatrenia'!$B$7</f>
        <v>Automatizácia</v>
      </c>
      <c r="D271" s="718" t="s">
        <v>530</v>
      </c>
      <c r="E271" s="703" t="s">
        <v>530</v>
      </c>
      <c r="F271" s="703" t="s">
        <v>530</v>
      </c>
      <c r="G271" s="703" t="str">
        <f t="shared" si="335"/>
        <v>A</v>
      </c>
      <c r="H271" s="703"/>
      <c r="I271" s="703"/>
      <c r="J271" s="703"/>
      <c r="K271" s="703"/>
      <c r="L271" s="703" t="str">
        <f t="shared" si="336"/>
        <v>A</v>
      </c>
      <c r="M271" s="703" t="str">
        <f t="shared" si="336"/>
        <v>A</v>
      </c>
      <c r="N271" s="703" t="s">
        <v>530</v>
      </c>
      <c r="O271" s="703"/>
      <c r="P271" s="703" t="str">
        <f t="shared" si="337"/>
        <v>A</v>
      </c>
      <c r="Q271" s="703" t="str">
        <f t="shared" si="337"/>
        <v>A</v>
      </c>
      <c r="R271" s="703" t="str">
        <f t="shared" si="337"/>
        <v>A</v>
      </c>
      <c r="S271" s="703" t="str">
        <f t="shared" si="338"/>
        <v>A</v>
      </c>
      <c r="T271" s="703" t="str">
        <f t="shared" si="339"/>
        <v>A</v>
      </c>
      <c r="U271" s="703" t="str">
        <f t="shared" si="340"/>
        <v>A</v>
      </c>
      <c r="V271" s="703" t="str">
        <f t="shared" si="341"/>
        <v>A</v>
      </c>
      <c r="W271" s="703" t="str">
        <f t="shared" si="342"/>
        <v>A</v>
      </c>
      <c r="X271" s="703" t="str">
        <f t="shared" si="343"/>
        <v>A</v>
      </c>
      <c r="Y271" s="703" t="str">
        <f t="shared" si="344"/>
        <v>A</v>
      </c>
      <c r="Z271" s="703" t="str">
        <f t="shared" si="345"/>
        <v>A</v>
      </c>
      <c r="AA271" s="703" t="str">
        <f t="shared" si="346"/>
        <v>A</v>
      </c>
      <c r="AB271" s="703" t="str">
        <f t="shared" si="347"/>
        <v>A</v>
      </c>
      <c r="AC271" s="703" t="str">
        <f t="shared" si="348"/>
        <v>A</v>
      </c>
      <c r="AD271" s="804"/>
      <c r="AE271" s="804"/>
      <c r="AF271" s="791"/>
      <c r="AG271" s="798"/>
      <c r="AH271" s="928"/>
      <c r="AI271" s="732"/>
      <c r="AJ271" s="733"/>
    </row>
    <row r="272" spans="1:52" hidden="1" outlineLevel="1" x14ac:dyDescent="0.25">
      <c r="A272" s="159"/>
      <c r="B272" s="1359"/>
      <c r="C272" s="667" t="str">
        <f>'Optimalizačné opatrenia'!$B$8</f>
        <v>Bezpečnosť</v>
      </c>
      <c r="D272" s="718" t="s">
        <v>530</v>
      </c>
      <c r="E272" s="703" t="s">
        <v>530</v>
      </c>
      <c r="F272" s="703" t="s">
        <v>530</v>
      </c>
      <c r="G272" s="703" t="str">
        <f t="shared" si="335"/>
        <v>A</v>
      </c>
      <c r="H272" s="703"/>
      <c r="I272" s="703"/>
      <c r="J272" s="703"/>
      <c r="K272" s="703"/>
      <c r="L272" s="703" t="str">
        <f t="shared" si="336"/>
        <v>A</v>
      </c>
      <c r="M272" s="703" t="str">
        <f t="shared" si="336"/>
        <v>A</v>
      </c>
      <c r="N272" s="703" t="s">
        <v>530</v>
      </c>
      <c r="O272" s="703"/>
      <c r="P272" s="703" t="str">
        <f t="shared" si="337"/>
        <v>A</v>
      </c>
      <c r="Q272" s="703" t="str">
        <f t="shared" si="337"/>
        <v>A</v>
      </c>
      <c r="R272" s="703" t="str">
        <f t="shared" si="337"/>
        <v>A</v>
      </c>
      <c r="S272" s="703" t="str">
        <f t="shared" si="338"/>
        <v>A</v>
      </c>
      <c r="T272" s="703" t="str">
        <f t="shared" si="339"/>
        <v>A</v>
      </c>
      <c r="U272" s="703" t="str">
        <f t="shared" si="340"/>
        <v>A</v>
      </c>
      <c r="V272" s="703" t="str">
        <f t="shared" si="341"/>
        <v>A</v>
      </c>
      <c r="W272" s="703" t="str">
        <f t="shared" si="342"/>
        <v>A</v>
      </c>
      <c r="X272" s="703" t="str">
        <f t="shared" si="343"/>
        <v>A</v>
      </c>
      <c r="Y272" s="703" t="str">
        <f t="shared" si="344"/>
        <v>A</v>
      </c>
      <c r="Z272" s="703" t="str">
        <f t="shared" si="345"/>
        <v>A</v>
      </c>
      <c r="AA272" s="703" t="str">
        <f t="shared" si="346"/>
        <v>A</v>
      </c>
      <c r="AB272" s="703" t="str">
        <f t="shared" si="347"/>
        <v>A</v>
      </c>
      <c r="AC272" s="703" t="str">
        <f t="shared" si="348"/>
        <v>A</v>
      </c>
      <c r="AD272" s="804"/>
      <c r="AE272" s="804"/>
      <c r="AF272" s="791"/>
      <c r="AG272" s="798"/>
      <c r="AH272" s="928"/>
      <c r="AI272" s="732"/>
      <c r="AJ272" s="733"/>
    </row>
    <row r="273" spans="1:52" hidden="1" outlineLevel="1" x14ac:dyDescent="0.25">
      <c r="A273" s="159"/>
      <c r="B273" s="1359"/>
      <c r="C273" s="667" t="str">
        <f>'Optimalizačné opatrenia'!$B$9</f>
        <v>Auditovateľnosť</v>
      </c>
      <c r="D273" s="718" t="s">
        <v>530</v>
      </c>
      <c r="E273" s="703" t="s">
        <v>530</v>
      </c>
      <c r="F273" s="703" t="s">
        <v>530</v>
      </c>
      <c r="G273" s="703" t="str">
        <f t="shared" si="335"/>
        <v>A</v>
      </c>
      <c r="H273" s="703"/>
      <c r="I273" s="703"/>
      <c r="J273" s="703"/>
      <c r="K273" s="703"/>
      <c r="L273" s="703" t="str">
        <f t="shared" si="336"/>
        <v>A</v>
      </c>
      <c r="M273" s="703" t="str">
        <f t="shared" si="336"/>
        <v>A</v>
      </c>
      <c r="N273" s="703" t="s">
        <v>530</v>
      </c>
      <c r="O273" s="703"/>
      <c r="P273" s="703" t="str">
        <f t="shared" si="337"/>
        <v>A</v>
      </c>
      <c r="Q273" s="703" t="str">
        <f t="shared" si="337"/>
        <v>A</v>
      </c>
      <c r="R273" s="703" t="str">
        <f t="shared" si="337"/>
        <v>N</v>
      </c>
      <c r="S273" s="703" t="str">
        <f t="shared" si="338"/>
        <v>N</v>
      </c>
      <c r="T273" s="703" t="str">
        <f t="shared" si="339"/>
        <v>N</v>
      </c>
      <c r="U273" s="703" t="str">
        <f t="shared" si="340"/>
        <v>A</v>
      </c>
      <c r="V273" s="703" t="str">
        <f t="shared" si="341"/>
        <v>A</v>
      </c>
      <c r="W273" s="703" t="str">
        <f t="shared" si="342"/>
        <v>A</v>
      </c>
      <c r="X273" s="703" t="str">
        <f t="shared" si="343"/>
        <v>A</v>
      </c>
      <c r="Y273" s="703" t="str">
        <f t="shared" si="344"/>
        <v>N</v>
      </c>
      <c r="Z273" s="703" t="str">
        <f t="shared" si="345"/>
        <v>N</v>
      </c>
      <c r="AA273" s="703" t="str">
        <f t="shared" si="346"/>
        <v>A</v>
      </c>
      <c r="AB273" s="703" t="str">
        <f t="shared" si="347"/>
        <v>A</v>
      </c>
      <c r="AC273" s="703" t="str">
        <f t="shared" si="348"/>
        <v>N</v>
      </c>
      <c r="AD273" s="804"/>
      <c r="AE273" s="804"/>
      <c r="AF273" s="791"/>
      <c r="AG273" s="798"/>
      <c r="AH273" s="928"/>
      <c r="AI273" s="732"/>
      <c r="AJ273" s="733"/>
    </row>
    <row r="274" spans="1:52" hidden="1" outlineLevel="1" x14ac:dyDescent="0.25">
      <c r="A274" s="159"/>
      <c r="B274" s="1359"/>
      <c r="C274" s="667" t="str">
        <f>'Optimalizačné opatrenia'!$B$10</f>
        <v>Transparentnosť</v>
      </c>
      <c r="D274" s="718" t="s">
        <v>530</v>
      </c>
      <c r="E274" s="703" t="s">
        <v>530</v>
      </c>
      <c r="F274" s="703" t="s">
        <v>530</v>
      </c>
      <c r="G274" s="703" t="str">
        <f t="shared" si="335"/>
        <v>N</v>
      </c>
      <c r="H274" s="703"/>
      <c r="I274" s="703"/>
      <c r="J274" s="703"/>
      <c r="K274" s="703"/>
      <c r="L274" s="703" t="str">
        <f t="shared" si="336"/>
        <v>N</v>
      </c>
      <c r="M274" s="703" t="str">
        <f t="shared" si="336"/>
        <v>N</v>
      </c>
      <c r="N274" s="703" t="s">
        <v>530</v>
      </c>
      <c r="O274" s="703"/>
      <c r="P274" s="703" t="str">
        <f t="shared" si="337"/>
        <v>A</v>
      </c>
      <c r="Q274" s="703" t="str">
        <f t="shared" si="337"/>
        <v>N</v>
      </c>
      <c r="R274" s="703" t="str">
        <f t="shared" si="337"/>
        <v>N</v>
      </c>
      <c r="S274" s="703" t="str">
        <f t="shared" si="338"/>
        <v>N</v>
      </c>
      <c r="T274" s="703" t="str">
        <f t="shared" si="339"/>
        <v>N</v>
      </c>
      <c r="U274" s="703" t="str">
        <f t="shared" si="340"/>
        <v>N</v>
      </c>
      <c r="V274" s="703" t="str">
        <f t="shared" si="341"/>
        <v>A</v>
      </c>
      <c r="W274" s="703" t="str">
        <f t="shared" si="342"/>
        <v>N</v>
      </c>
      <c r="X274" s="703" t="str">
        <f t="shared" si="343"/>
        <v>N</v>
      </c>
      <c r="Y274" s="703" t="str">
        <f t="shared" si="344"/>
        <v>N</v>
      </c>
      <c r="Z274" s="703" t="str">
        <f t="shared" si="345"/>
        <v>N</v>
      </c>
      <c r="AA274" s="703" t="str">
        <f t="shared" si="346"/>
        <v>A</v>
      </c>
      <c r="AB274" s="703" t="str">
        <f t="shared" si="347"/>
        <v>N</v>
      </c>
      <c r="AC274" s="703" t="str">
        <f t="shared" si="348"/>
        <v>N</v>
      </c>
      <c r="AD274" s="804"/>
      <c r="AE274" s="804"/>
      <c r="AF274" s="791"/>
      <c r="AG274" s="798"/>
      <c r="AH274" s="928"/>
      <c r="AI274" s="732"/>
      <c r="AJ274" s="733"/>
    </row>
    <row r="275" spans="1:52" hidden="1" outlineLevel="1" x14ac:dyDescent="0.25">
      <c r="A275" s="159"/>
      <c r="B275" s="1359"/>
      <c r="C275" s="667" t="str">
        <f>'Optimalizačné opatrenia'!$B$11</f>
        <v>Analyzovatelnosť</v>
      </c>
      <c r="D275" s="718" t="s">
        <v>530</v>
      </c>
      <c r="E275" s="703" t="s">
        <v>530</v>
      </c>
      <c r="F275" s="703" t="s">
        <v>530</v>
      </c>
      <c r="G275" s="703" t="str">
        <f t="shared" si="335"/>
        <v>A</v>
      </c>
      <c r="H275" s="703"/>
      <c r="I275" s="703"/>
      <c r="J275" s="703"/>
      <c r="K275" s="703"/>
      <c r="L275" s="703" t="str">
        <f t="shared" si="336"/>
        <v>A</v>
      </c>
      <c r="M275" s="703" t="str">
        <f t="shared" si="336"/>
        <v>A</v>
      </c>
      <c r="N275" s="703" t="s">
        <v>530</v>
      </c>
      <c r="O275" s="703"/>
      <c r="P275" s="703" t="str">
        <f t="shared" si="337"/>
        <v>A</v>
      </c>
      <c r="Q275" s="703" t="str">
        <f t="shared" si="337"/>
        <v>A</v>
      </c>
      <c r="R275" s="703" t="str">
        <f t="shared" si="337"/>
        <v>N</v>
      </c>
      <c r="S275" s="703" t="str">
        <f t="shared" si="338"/>
        <v>N</v>
      </c>
      <c r="T275" s="703" t="str">
        <f t="shared" si="339"/>
        <v>N</v>
      </c>
      <c r="U275" s="703" t="str">
        <f t="shared" si="340"/>
        <v>A</v>
      </c>
      <c r="V275" s="703" t="str">
        <f t="shared" si="341"/>
        <v>A</v>
      </c>
      <c r="W275" s="703" t="str">
        <f t="shared" si="342"/>
        <v>A</v>
      </c>
      <c r="X275" s="703" t="str">
        <f t="shared" si="343"/>
        <v>A</v>
      </c>
      <c r="Y275" s="703" t="str">
        <f t="shared" si="344"/>
        <v>N</v>
      </c>
      <c r="Z275" s="703" t="str">
        <f t="shared" si="345"/>
        <v>N</v>
      </c>
      <c r="AA275" s="703" t="str">
        <f t="shared" si="346"/>
        <v>A</v>
      </c>
      <c r="AB275" s="703" t="str">
        <f t="shared" si="347"/>
        <v>A</v>
      </c>
      <c r="AC275" s="703" t="str">
        <f t="shared" si="348"/>
        <v>N</v>
      </c>
      <c r="AD275" s="804"/>
      <c r="AE275" s="804"/>
      <c r="AF275" s="791"/>
      <c r="AG275" s="798"/>
      <c r="AH275" s="928"/>
      <c r="AI275" s="732"/>
      <c r="AJ275" s="733"/>
    </row>
    <row r="276" spans="1:52" hidden="1" outlineLevel="1" x14ac:dyDescent="0.25">
      <c r="A276" s="159"/>
      <c r="B276" s="1359"/>
      <c r="C276" s="667" t="str">
        <f>'Optimalizačné opatrenia'!$B$12</f>
        <v>Integrácia</v>
      </c>
      <c r="D276" s="718" t="s">
        <v>530</v>
      </c>
      <c r="E276" s="703" t="s">
        <v>530</v>
      </c>
      <c r="F276" s="703" t="s">
        <v>530</v>
      </c>
      <c r="G276" s="703" t="str">
        <f t="shared" si="335"/>
        <v>A</v>
      </c>
      <c r="H276" s="703"/>
      <c r="I276" s="703"/>
      <c r="J276" s="703"/>
      <c r="K276" s="703"/>
      <c r="L276" s="703" t="str">
        <f t="shared" si="336"/>
        <v>A</v>
      </c>
      <c r="M276" s="703" t="str">
        <f t="shared" si="336"/>
        <v>A</v>
      </c>
      <c r="N276" s="703" t="s">
        <v>530</v>
      </c>
      <c r="O276" s="703"/>
      <c r="P276" s="703" t="str">
        <f t="shared" si="337"/>
        <v>A</v>
      </c>
      <c r="Q276" s="703" t="str">
        <f t="shared" si="337"/>
        <v>A</v>
      </c>
      <c r="R276" s="703" t="str">
        <f t="shared" si="337"/>
        <v>A</v>
      </c>
      <c r="S276" s="703" t="str">
        <f t="shared" si="338"/>
        <v>A</v>
      </c>
      <c r="T276" s="703" t="str">
        <f t="shared" si="339"/>
        <v>A</v>
      </c>
      <c r="U276" s="703" t="str">
        <f t="shared" si="340"/>
        <v>A</v>
      </c>
      <c r="V276" s="703" t="str">
        <f t="shared" si="341"/>
        <v>A</v>
      </c>
      <c r="W276" s="703" t="str">
        <f t="shared" si="342"/>
        <v>A</v>
      </c>
      <c r="X276" s="703" t="str">
        <f t="shared" si="343"/>
        <v>A</v>
      </c>
      <c r="Y276" s="703" t="str">
        <f t="shared" si="344"/>
        <v>A</v>
      </c>
      <c r="Z276" s="703" t="str">
        <f t="shared" si="345"/>
        <v>A</v>
      </c>
      <c r="AA276" s="703" t="str">
        <f t="shared" si="346"/>
        <v>A</v>
      </c>
      <c r="AB276" s="703" t="str">
        <f t="shared" si="347"/>
        <v>A</v>
      </c>
      <c r="AC276" s="703" t="str">
        <f t="shared" si="348"/>
        <v>A</v>
      </c>
      <c r="AD276" s="804"/>
      <c r="AE276" s="804"/>
      <c r="AF276" s="791"/>
      <c r="AG276" s="798"/>
      <c r="AH276" s="928"/>
      <c r="AI276" s="732"/>
      <c r="AJ276" s="733"/>
    </row>
    <row r="277" spans="1:52" hidden="1" outlineLevel="1" x14ac:dyDescent="0.25">
      <c r="A277" s="159"/>
      <c r="B277" s="1359"/>
      <c r="C277" s="672" t="str">
        <f>'Optimalizačné opatrenia'!$B$13</f>
        <v>Proaktivita</v>
      </c>
      <c r="D277" s="718" t="s">
        <v>530</v>
      </c>
      <c r="E277" s="703" t="s">
        <v>530</v>
      </c>
      <c r="F277" s="703" t="s">
        <v>530</v>
      </c>
      <c r="G277" s="703" t="str">
        <f t="shared" si="335"/>
        <v>N</v>
      </c>
      <c r="H277" s="703"/>
      <c r="I277" s="703"/>
      <c r="J277" s="703"/>
      <c r="K277" s="703"/>
      <c r="L277" s="703" t="str">
        <f t="shared" si="336"/>
        <v>A</v>
      </c>
      <c r="M277" s="703" t="str">
        <f t="shared" si="336"/>
        <v>N</v>
      </c>
      <c r="N277" s="703" t="s">
        <v>530</v>
      </c>
      <c r="O277" s="703"/>
      <c r="P277" s="703" t="str">
        <f t="shared" si="337"/>
        <v>N</v>
      </c>
      <c r="Q277" s="703" t="str">
        <f t="shared" si="337"/>
        <v>N</v>
      </c>
      <c r="R277" s="703" t="str">
        <f t="shared" si="337"/>
        <v>A</v>
      </c>
      <c r="S277" s="703" t="str">
        <f t="shared" si="338"/>
        <v>A</v>
      </c>
      <c r="T277" s="703" t="str">
        <f t="shared" si="339"/>
        <v>A</v>
      </c>
      <c r="U277" s="703" t="str">
        <f t="shared" si="340"/>
        <v>N</v>
      </c>
      <c r="V277" s="703" t="str">
        <f t="shared" si="341"/>
        <v>A</v>
      </c>
      <c r="W277" s="703" t="str">
        <f t="shared" si="342"/>
        <v>N</v>
      </c>
      <c r="X277" s="703" t="str">
        <f t="shared" si="343"/>
        <v>N</v>
      </c>
      <c r="Y277" s="703" t="str">
        <f t="shared" si="344"/>
        <v>A</v>
      </c>
      <c r="Z277" s="703" t="str">
        <f t="shared" si="345"/>
        <v>A</v>
      </c>
      <c r="AA277" s="703" t="str">
        <f t="shared" si="346"/>
        <v>A</v>
      </c>
      <c r="AB277" s="703" t="str">
        <f t="shared" si="347"/>
        <v>N</v>
      </c>
      <c r="AC277" s="703" t="str">
        <f t="shared" si="348"/>
        <v>A</v>
      </c>
      <c r="AD277" s="804"/>
      <c r="AE277" s="804"/>
      <c r="AF277" s="791"/>
      <c r="AG277" s="798"/>
      <c r="AH277" s="928"/>
      <c r="AI277" s="732"/>
      <c r="AJ277" s="733"/>
    </row>
    <row r="278" spans="1:52" hidden="1" outlineLevel="1" x14ac:dyDescent="0.25">
      <c r="A278" s="159"/>
      <c r="B278" s="720"/>
      <c r="C278" s="722" t="s">
        <v>538</v>
      </c>
      <c r="D278" s="723">
        <v>0</v>
      </c>
      <c r="E278" s="721">
        <v>0</v>
      </c>
      <c r="F278" s="724">
        <v>0</v>
      </c>
      <c r="G278" s="724">
        <f t="shared" si="335"/>
        <v>0.3</v>
      </c>
      <c r="H278" s="724"/>
      <c r="I278" s="724"/>
      <c r="J278" s="724"/>
      <c r="K278" s="724"/>
      <c r="L278" s="724">
        <f t="shared" si="336"/>
        <v>0.4</v>
      </c>
      <c r="M278" s="724">
        <f t="shared" si="336"/>
        <v>0.3</v>
      </c>
      <c r="N278" s="724">
        <v>0</v>
      </c>
      <c r="O278" s="724"/>
      <c r="P278" s="724">
        <f t="shared" si="337"/>
        <v>0.45</v>
      </c>
      <c r="Q278" s="724">
        <f t="shared" si="337"/>
        <v>0.3</v>
      </c>
      <c r="R278" s="724">
        <f t="shared" si="337"/>
        <v>0.25</v>
      </c>
      <c r="S278" s="724">
        <f t="shared" si="338"/>
        <v>0.25</v>
      </c>
      <c r="T278" s="724">
        <f t="shared" si="339"/>
        <v>0.25</v>
      </c>
      <c r="U278" s="724">
        <f t="shared" si="340"/>
        <v>0.3</v>
      </c>
      <c r="V278" s="724">
        <f t="shared" si="341"/>
        <v>0.5</v>
      </c>
      <c r="W278" s="724">
        <f t="shared" si="342"/>
        <v>0.3</v>
      </c>
      <c r="X278" s="724">
        <f t="shared" si="343"/>
        <v>0.3</v>
      </c>
      <c r="Y278" s="724">
        <f t="shared" si="344"/>
        <v>0.25</v>
      </c>
      <c r="Z278" s="724">
        <f t="shared" si="345"/>
        <v>0.25</v>
      </c>
      <c r="AA278" s="724">
        <f t="shared" si="346"/>
        <v>0.5</v>
      </c>
      <c r="AB278" s="724">
        <f t="shared" si="347"/>
        <v>0.3</v>
      </c>
      <c r="AC278" s="724">
        <f t="shared" si="348"/>
        <v>0.25</v>
      </c>
      <c r="AD278" s="805"/>
      <c r="AE278" s="805"/>
      <c r="AF278" s="792"/>
      <c r="AG278" s="799"/>
      <c r="AH278" s="929"/>
      <c r="AI278" s="735"/>
      <c r="AJ278" s="736"/>
    </row>
    <row r="279" spans="1:52" ht="85.35" customHeight="1" collapsed="1" x14ac:dyDescent="0.25">
      <c r="A279" s="159">
        <f ca="1">OFFSET(A279,-14,0)+1</f>
        <v>20</v>
      </c>
      <c r="B279" s="668" t="str">
        <f ca="1">'Procesy - AS IS'!B68</f>
        <v>Meranie č. 20</v>
      </c>
      <c r="C279" s="671" t="str">
        <f>'Procesy - AS IS'!C68</f>
        <v>HANYX s.r.o. Lučenec, Podnet - subjekt vykonáva mobilný zber a prepravu komunálneho odpadu bez zmluvy s mestom (Kontrola obcí pri nakladaní s komunálnym odpadom), 8212-36652/44/2017/Kov</v>
      </c>
      <c r="D279" s="726">
        <f>-'Procesy - AS IS'!D70*D292</f>
        <v>0</v>
      </c>
      <c r="E279" s="653">
        <f>-'Procesy - AS IS'!E70*E292</f>
        <v>0</v>
      </c>
      <c r="F279" s="653">
        <f>-'Procesy - AS IS'!F70*F292</f>
        <v>0</v>
      </c>
      <c r="G279" s="653">
        <f>-'Procesy - AS IS'!G70*G292</f>
        <v>-4.8</v>
      </c>
      <c r="H279" s="653" t="s">
        <v>555</v>
      </c>
      <c r="I279" s="653" t="s">
        <v>555</v>
      </c>
      <c r="J279" s="653" t="s">
        <v>555</v>
      </c>
      <c r="K279" s="653" t="s">
        <v>555</v>
      </c>
      <c r="L279" s="653">
        <f>-'Procesy - AS IS'!L70*L292</f>
        <v>-0.1</v>
      </c>
      <c r="M279" s="653">
        <f>-'Procesy - AS IS'!M70*M292</f>
        <v>-0.22499999999999998</v>
      </c>
      <c r="N279" s="653">
        <f>-'Procesy - AS IS'!N70*N292</f>
        <v>0</v>
      </c>
      <c r="O279" s="653" t="s">
        <v>559</v>
      </c>
      <c r="P279" s="653">
        <f>-'Procesy - AS IS'!P70*P292</f>
        <v>-0.9</v>
      </c>
      <c r="Q279" s="653">
        <f>-'Procesy - AS IS'!Q70*Q292</f>
        <v>0</v>
      </c>
      <c r="R279" s="653">
        <f>-'Procesy - AS IS'!R70*R292</f>
        <v>-1.9258297070857959</v>
      </c>
      <c r="S279" s="653">
        <f>-'Procesy - AS IS'!S70*S292</f>
        <v>-4.0741702929142036</v>
      </c>
      <c r="T279" s="653">
        <f>-'Procesy - AS IS'!T70*T292</f>
        <v>-0.96291485354289796</v>
      </c>
      <c r="U279" s="653">
        <f>-'Procesy - AS IS'!U70*U292</f>
        <v>-0.61112554393713048</v>
      </c>
      <c r="V279" s="653">
        <f>-'Procesy - AS IS'!V70*V292</f>
        <v>-0.25</v>
      </c>
      <c r="W279" s="653">
        <f>-'Procesy - AS IS'!W70*W292</f>
        <v>-2.8651685393258425E-2</v>
      </c>
      <c r="X279" s="653">
        <f>-'Procesy - AS IS'!X70*X292</f>
        <v>0</v>
      </c>
      <c r="Y279" s="653">
        <f>-'Procesy - AS IS'!Y70*Y292</f>
        <v>-0.7640449438202247</v>
      </c>
      <c r="Z279" s="653">
        <f>-'Procesy - AS IS'!Z70*Z292</f>
        <v>-2.8089887640449437E-3</v>
      </c>
      <c r="AA279" s="653">
        <f>-'Procesy - AS IS'!AA70*AA292</f>
        <v>-2.247191011235955E-2</v>
      </c>
      <c r="AB279" s="653">
        <f>-'Procesy - AS IS'!AB70*AB292</f>
        <v>-0.10786516853932583</v>
      </c>
      <c r="AC279" s="653">
        <f>-'Procesy - AS IS'!AC70*AC292</f>
        <v>-0.2247191011235955</v>
      </c>
      <c r="AD279" s="754"/>
      <c r="AE279" s="754">
        <f>SUM(D279:AC279)</f>
        <v>-14.999602195232836</v>
      </c>
      <c r="AF279" s="728">
        <f>AE279/'Procesy - AS IS'!AD70</f>
        <v>-0.2785180944180336</v>
      </c>
      <c r="AG279" s="797">
        <f>'Procesy - AS IS'!AG70/(1+$AF279)-'Procesy - AS IS'!AG70</f>
        <v>34.357217016011305</v>
      </c>
      <c r="AH279" s="927">
        <f>'Procesy - AS IS'!AH70/(1+$AF279)-'Procesy - AS IS'!AH70</f>
        <v>11.027691530371364</v>
      </c>
      <c r="AI279" s="730">
        <f>'Procesy - AS IS'!AI70/(1+$AF279)-'Procesy - AS IS'!AI70</f>
        <v>6.5626144862044065</v>
      </c>
      <c r="AJ279" s="731">
        <f>'Procesy - AS IS'!AJ70/(1+$AF279)-'Procesy - AS IS'!AJ70</f>
        <v>0.77207229249463616</v>
      </c>
      <c r="AL279" s="232"/>
      <c r="AZ279" s="227"/>
    </row>
    <row r="280" spans="1:52" hidden="1" outlineLevel="1" x14ac:dyDescent="0.25">
      <c r="A280" s="159"/>
      <c r="B280" s="1358" t="s">
        <v>528</v>
      </c>
      <c r="C280" s="667" t="str">
        <f>'Optimalizačné opatrenia'!$B$2</f>
        <v>Modernizácia</v>
      </c>
      <c r="D280" s="673" t="s">
        <v>530</v>
      </c>
      <c r="E280" s="674" t="s">
        <v>530</v>
      </c>
      <c r="F280" s="703" t="s">
        <v>530</v>
      </c>
      <c r="G280" s="703" t="str">
        <f t="shared" ref="G280:G292" si="349">G210</f>
        <v>A</v>
      </c>
      <c r="H280" s="703"/>
      <c r="I280" s="703"/>
      <c r="J280" s="703"/>
      <c r="K280" s="703"/>
      <c r="L280" s="703" t="str">
        <f t="shared" ref="L280:M292" si="350">L266</f>
        <v>A</v>
      </c>
      <c r="M280" s="703" t="str">
        <f t="shared" si="350"/>
        <v>A</v>
      </c>
      <c r="N280" s="703" t="s">
        <v>530</v>
      </c>
      <c r="O280" s="703"/>
      <c r="P280" s="703" t="str">
        <f t="shared" ref="P280:R292" si="351">P210</f>
        <v>A</v>
      </c>
      <c r="Q280" s="703" t="str">
        <f t="shared" si="351"/>
        <v>A</v>
      </c>
      <c r="R280" s="703" t="str">
        <f t="shared" si="351"/>
        <v>A</v>
      </c>
      <c r="S280" s="703" t="str">
        <f t="shared" ref="S280:S292" si="352">R280</f>
        <v>A</v>
      </c>
      <c r="T280" s="703" t="str">
        <f t="shared" ref="T280:T292" si="353">R280</f>
        <v>A</v>
      </c>
      <c r="U280" s="703" t="str">
        <f t="shared" ref="U280:U292" si="354">G266</f>
        <v>A</v>
      </c>
      <c r="V280" s="703" t="str">
        <f t="shared" ref="V280:V292" si="355">V210</f>
        <v>A</v>
      </c>
      <c r="W280" s="703" t="str">
        <f t="shared" ref="W280:W292" si="356">W10</f>
        <v>A</v>
      </c>
      <c r="X280" s="703" t="str">
        <f t="shared" ref="X280:X292" si="357">G280</f>
        <v>A</v>
      </c>
      <c r="Y280" s="703" t="str">
        <f t="shared" ref="Y280:Y292" si="358">R280</f>
        <v>A</v>
      </c>
      <c r="Z280" s="703" t="str">
        <f t="shared" ref="Z280:Z292" si="359">R280</f>
        <v>A</v>
      </c>
      <c r="AA280" s="703" t="str">
        <f t="shared" ref="AA280:AA292" si="360">$V280</f>
        <v>A</v>
      </c>
      <c r="AB280" s="703" t="str">
        <f t="shared" ref="AB280:AB292" si="361">G280</f>
        <v>A</v>
      </c>
      <c r="AC280" s="703" t="str">
        <f t="shared" ref="AC280:AC292" si="362">R280</f>
        <v>A</v>
      </c>
      <c r="AD280" s="804"/>
      <c r="AE280" s="804"/>
      <c r="AF280" s="791"/>
      <c r="AG280" s="798"/>
      <c r="AH280" s="928"/>
      <c r="AI280" s="732"/>
      <c r="AJ280" s="733"/>
    </row>
    <row r="281" spans="1:52" hidden="1" outlineLevel="1" x14ac:dyDescent="0.25">
      <c r="A281" s="159"/>
      <c r="B281" s="1359"/>
      <c r="C281" s="667" t="str">
        <f>'Optimalizačné opatrenia'!$B$3</f>
        <v>Sfunkčnenie</v>
      </c>
      <c r="D281" s="718" t="s">
        <v>530</v>
      </c>
      <c r="E281" s="703" t="s">
        <v>530</v>
      </c>
      <c r="F281" s="703" t="s">
        <v>530</v>
      </c>
      <c r="G281" s="703" t="str">
        <f t="shared" si="349"/>
        <v>N</v>
      </c>
      <c r="H281" s="703"/>
      <c r="I281" s="703"/>
      <c r="J281" s="703"/>
      <c r="K281" s="703"/>
      <c r="L281" s="703" t="str">
        <f t="shared" si="350"/>
        <v>N</v>
      </c>
      <c r="M281" s="703" t="str">
        <f t="shared" si="350"/>
        <v>N</v>
      </c>
      <c r="N281" s="703" t="s">
        <v>530</v>
      </c>
      <c r="O281" s="703"/>
      <c r="P281" s="703" t="str">
        <f t="shared" si="351"/>
        <v>N</v>
      </c>
      <c r="Q281" s="703" t="str">
        <f t="shared" si="351"/>
        <v>N</v>
      </c>
      <c r="R281" s="703" t="str">
        <f t="shared" si="351"/>
        <v>N</v>
      </c>
      <c r="S281" s="703" t="str">
        <f t="shared" si="352"/>
        <v>N</v>
      </c>
      <c r="T281" s="703" t="str">
        <f t="shared" si="353"/>
        <v>N</v>
      </c>
      <c r="U281" s="703" t="str">
        <f t="shared" si="354"/>
        <v>N</v>
      </c>
      <c r="V281" s="703" t="str">
        <f t="shared" si="355"/>
        <v>N</v>
      </c>
      <c r="W281" s="703" t="str">
        <f t="shared" si="356"/>
        <v>N</v>
      </c>
      <c r="X281" s="703" t="str">
        <f t="shared" si="357"/>
        <v>N</v>
      </c>
      <c r="Y281" s="703" t="str">
        <f t="shared" si="358"/>
        <v>N</v>
      </c>
      <c r="Z281" s="703" t="str">
        <f t="shared" si="359"/>
        <v>N</v>
      </c>
      <c r="AA281" s="703" t="str">
        <f t="shared" si="360"/>
        <v>N</v>
      </c>
      <c r="AB281" s="703" t="str">
        <f t="shared" si="361"/>
        <v>N</v>
      </c>
      <c r="AC281" s="703" t="str">
        <f t="shared" si="362"/>
        <v>N</v>
      </c>
      <c r="AD281" s="804"/>
      <c r="AE281" s="804"/>
      <c r="AF281" s="791"/>
      <c r="AG281" s="798"/>
      <c r="AH281" s="928"/>
      <c r="AI281" s="732"/>
      <c r="AJ281" s="733"/>
    </row>
    <row r="282" spans="1:52" hidden="1" outlineLevel="1" x14ac:dyDescent="0.25">
      <c r="A282" s="159"/>
      <c r="B282" s="1359"/>
      <c r="C282" s="667" t="str">
        <f>'Optimalizačné opatrenia'!$B$4</f>
        <v>Zjednotenie</v>
      </c>
      <c r="D282" s="718" t="s">
        <v>530</v>
      </c>
      <c r="E282" s="703" t="s">
        <v>530</v>
      </c>
      <c r="F282" s="703" t="s">
        <v>530</v>
      </c>
      <c r="G282" s="703" t="str">
        <f t="shared" si="349"/>
        <v>A</v>
      </c>
      <c r="H282" s="703"/>
      <c r="I282" s="703"/>
      <c r="J282" s="703"/>
      <c r="K282" s="703"/>
      <c r="L282" s="703" t="str">
        <f t="shared" si="350"/>
        <v>A</v>
      </c>
      <c r="M282" s="703" t="str">
        <f t="shared" si="350"/>
        <v>A</v>
      </c>
      <c r="N282" s="703" t="s">
        <v>530</v>
      </c>
      <c r="O282" s="703"/>
      <c r="P282" s="703" t="str">
        <f t="shared" si="351"/>
        <v>A</v>
      </c>
      <c r="Q282" s="703" t="str">
        <f t="shared" si="351"/>
        <v>A</v>
      </c>
      <c r="R282" s="703" t="str">
        <f t="shared" si="351"/>
        <v>A</v>
      </c>
      <c r="S282" s="703" t="str">
        <f t="shared" si="352"/>
        <v>A</v>
      </c>
      <c r="T282" s="703" t="str">
        <f t="shared" si="353"/>
        <v>A</v>
      </c>
      <c r="U282" s="703" t="str">
        <f t="shared" si="354"/>
        <v>A</v>
      </c>
      <c r="V282" s="703" t="str">
        <f t="shared" si="355"/>
        <v>A</v>
      </c>
      <c r="W282" s="703" t="str">
        <f t="shared" si="356"/>
        <v>A</v>
      </c>
      <c r="X282" s="703" t="str">
        <f t="shared" si="357"/>
        <v>A</v>
      </c>
      <c r="Y282" s="703" t="str">
        <f t="shared" si="358"/>
        <v>A</v>
      </c>
      <c r="Z282" s="703" t="str">
        <f t="shared" si="359"/>
        <v>A</v>
      </c>
      <c r="AA282" s="703" t="str">
        <f t="shared" si="360"/>
        <v>A</v>
      </c>
      <c r="AB282" s="703" t="str">
        <f t="shared" si="361"/>
        <v>A</v>
      </c>
      <c r="AC282" s="703" t="str">
        <f t="shared" si="362"/>
        <v>A</v>
      </c>
      <c r="AD282" s="804"/>
      <c r="AE282" s="804"/>
      <c r="AF282" s="791"/>
      <c r="AG282" s="798"/>
      <c r="AH282" s="928"/>
      <c r="AI282" s="732"/>
      <c r="AJ282" s="733"/>
    </row>
    <row r="283" spans="1:52" hidden="1" outlineLevel="1" x14ac:dyDescent="0.25">
      <c r="A283" s="159"/>
      <c r="B283" s="1359"/>
      <c r="C283" s="667" t="str">
        <f>'Optimalizačné opatrenia'!$B$5</f>
        <v>Centralizácia</v>
      </c>
      <c r="D283" s="718" t="s">
        <v>530</v>
      </c>
      <c r="E283" s="703" t="s">
        <v>530</v>
      </c>
      <c r="F283" s="703" t="s">
        <v>530</v>
      </c>
      <c r="G283" s="703" t="str">
        <f t="shared" si="349"/>
        <v>A</v>
      </c>
      <c r="H283" s="703"/>
      <c r="I283" s="703"/>
      <c r="J283" s="703"/>
      <c r="K283" s="703"/>
      <c r="L283" s="703" t="str">
        <f t="shared" si="350"/>
        <v>A</v>
      </c>
      <c r="M283" s="703" t="str">
        <f t="shared" si="350"/>
        <v>A</v>
      </c>
      <c r="N283" s="703" t="s">
        <v>530</v>
      </c>
      <c r="O283" s="703"/>
      <c r="P283" s="703" t="str">
        <f t="shared" si="351"/>
        <v>A</v>
      </c>
      <c r="Q283" s="703" t="str">
        <f t="shared" si="351"/>
        <v>A</v>
      </c>
      <c r="R283" s="703" t="str">
        <f t="shared" si="351"/>
        <v>A</v>
      </c>
      <c r="S283" s="703" t="str">
        <f t="shared" si="352"/>
        <v>A</v>
      </c>
      <c r="T283" s="703" t="str">
        <f t="shared" si="353"/>
        <v>A</v>
      </c>
      <c r="U283" s="703" t="str">
        <f t="shared" si="354"/>
        <v>A</v>
      </c>
      <c r="V283" s="703" t="str">
        <f t="shared" si="355"/>
        <v>A</v>
      </c>
      <c r="W283" s="703" t="str">
        <f t="shared" si="356"/>
        <v>A</v>
      </c>
      <c r="X283" s="703" t="str">
        <f t="shared" si="357"/>
        <v>A</v>
      </c>
      <c r="Y283" s="703" t="str">
        <f t="shared" si="358"/>
        <v>A</v>
      </c>
      <c r="Z283" s="703" t="str">
        <f t="shared" si="359"/>
        <v>A</v>
      </c>
      <c r="AA283" s="703" t="str">
        <f t="shared" si="360"/>
        <v>A</v>
      </c>
      <c r="AB283" s="703" t="str">
        <f t="shared" si="361"/>
        <v>A</v>
      </c>
      <c r="AC283" s="703" t="str">
        <f t="shared" si="362"/>
        <v>A</v>
      </c>
      <c r="AD283" s="804"/>
      <c r="AE283" s="804"/>
      <c r="AF283" s="791"/>
      <c r="AG283" s="798"/>
      <c r="AH283" s="928"/>
      <c r="AI283" s="732"/>
      <c r="AJ283" s="733"/>
    </row>
    <row r="284" spans="1:52" hidden="1" outlineLevel="1" x14ac:dyDescent="0.25">
      <c r="A284" s="159"/>
      <c r="B284" s="1359"/>
      <c r="C284" s="667" t="str">
        <f>'Optimalizačné opatrenia'!$B$6</f>
        <v>Elektronizácia</v>
      </c>
      <c r="D284" s="718" t="s">
        <v>530</v>
      </c>
      <c r="E284" s="703" t="s">
        <v>530</v>
      </c>
      <c r="F284" s="703" t="s">
        <v>530</v>
      </c>
      <c r="G284" s="703" t="str">
        <f t="shared" si="349"/>
        <v>A</v>
      </c>
      <c r="H284" s="703"/>
      <c r="I284" s="703"/>
      <c r="J284" s="703"/>
      <c r="K284" s="703"/>
      <c r="L284" s="703" t="str">
        <f t="shared" si="350"/>
        <v>A</v>
      </c>
      <c r="M284" s="703" t="str">
        <f t="shared" si="350"/>
        <v>A</v>
      </c>
      <c r="N284" s="703" t="s">
        <v>530</v>
      </c>
      <c r="O284" s="703"/>
      <c r="P284" s="703" t="str">
        <f t="shared" si="351"/>
        <v>A</v>
      </c>
      <c r="Q284" s="703" t="str">
        <f t="shared" si="351"/>
        <v>A</v>
      </c>
      <c r="R284" s="703" t="str">
        <f t="shared" si="351"/>
        <v>A</v>
      </c>
      <c r="S284" s="703" t="str">
        <f t="shared" si="352"/>
        <v>A</v>
      </c>
      <c r="T284" s="703" t="str">
        <f t="shared" si="353"/>
        <v>A</v>
      </c>
      <c r="U284" s="703" t="str">
        <f t="shared" si="354"/>
        <v>A</v>
      </c>
      <c r="V284" s="703" t="str">
        <f t="shared" si="355"/>
        <v>A</v>
      </c>
      <c r="W284" s="703" t="str">
        <f t="shared" si="356"/>
        <v>A</v>
      </c>
      <c r="X284" s="703" t="str">
        <f t="shared" si="357"/>
        <v>A</v>
      </c>
      <c r="Y284" s="703" t="str">
        <f t="shared" si="358"/>
        <v>A</v>
      </c>
      <c r="Z284" s="703" t="str">
        <f t="shared" si="359"/>
        <v>A</v>
      </c>
      <c r="AA284" s="703" t="str">
        <f t="shared" si="360"/>
        <v>A</v>
      </c>
      <c r="AB284" s="703" t="str">
        <f t="shared" si="361"/>
        <v>A</v>
      </c>
      <c r="AC284" s="703" t="str">
        <f t="shared" si="362"/>
        <v>A</v>
      </c>
      <c r="AD284" s="804"/>
      <c r="AE284" s="804"/>
      <c r="AF284" s="791"/>
      <c r="AG284" s="798"/>
      <c r="AH284" s="928"/>
      <c r="AI284" s="732"/>
      <c r="AJ284" s="733"/>
    </row>
    <row r="285" spans="1:52" hidden="1" outlineLevel="1" x14ac:dyDescent="0.25">
      <c r="A285" s="159"/>
      <c r="B285" s="1359"/>
      <c r="C285" s="667" t="str">
        <f>'Optimalizačné opatrenia'!$B$7</f>
        <v>Automatizácia</v>
      </c>
      <c r="D285" s="718" t="s">
        <v>530</v>
      </c>
      <c r="E285" s="703" t="s">
        <v>530</v>
      </c>
      <c r="F285" s="703" t="s">
        <v>530</v>
      </c>
      <c r="G285" s="703" t="str">
        <f t="shared" si="349"/>
        <v>A</v>
      </c>
      <c r="H285" s="703"/>
      <c r="I285" s="703"/>
      <c r="J285" s="703"/>
      <c r="K285" s="703"/>
      <c r="L285" s="703" t="str">
        <f t="shared" si="350"/>
        <v>A</v>
      </c>
      <c r="M285" s="703" t="str">
        <f t="shared" si="350"/>
        <v>A</v>
      </c>
      <c r="N285" s="703" t="s">
        <v>530</v>
      </c>
      <c r="O285" s="703"/>
      <c r="P285" s="703" t="str">
        <f t="shared" si="351"/>
        <v>A</v>
      </c>
      <c r="Q285" s="703" t="str">
        <f t="shared" si="351"/>
        <v>A</v>
      </c>
      <c r="R285" s="703" t="str">
        <f t="shared" si="351"/>
        <v>A</v>
      </c>
      <c r="S285" s="703" t="str">
        <f t="shared" si="352"/>
        <v>A</v>
      </c>
      <c r="T285" s="703" t="str">
        <f t="shared" si="353"/>
        <v>A</v>
      </c>
      <c r="U285" s="703" t="str">
        <f t="shared" si="354"/>
        <v>A</v>
      </c>
      <c r="V285" s="703" t="str">
        <f t="shared" si="355"/>
        <v>A</v>
      </c>
      <c r="W285" s="703" t="str">
        <f t="shared" si="356"/>
        <v>A</v>
      </c>
      <c r="X285" s="703" t="str">
        <f t="shared" si="357"/>
        <v>A</v>
      </c>
      <c r="Y285" s="703" t="str">
        <f t="shared" si="358"/>
        <v>A</v>
      </c>
      <c r="Z285" s="703" t="str">
        <f t="shared" si="359"/>
        <v>A</v>
      </c>
      <c r="AA285" s="703" t="str">
        <f t="shared" si="360"/>
        <v>A</v>
      </c>
      <c r="AB285" s="703" t="str">
        <f t="shared" si="361"/>
        <v>A</v>
      </c>
      <c r="AC285" s="703" t="str">
        <f t="shared" si="362"/>
        <v>A</v>
      </c>
      <c r="AD285" s="804"/>
      <c r="AE285" s="804"/>
      <c r="AF285" s="791"/>
      <c r="AG285" s="798"/>
      <c r="AH285" s="928"/>
      <c r="AI285" s="732"/>
      <c r="AJ285" s="733"/>
    </row>
    <row r="286" spans="1:52" hidden="1" outlineLevel="1" x14ac:dyDescent="0.25">
      <c r="A286" s="159"/>
      <c r="B286" s="1359"/>
      <c r="C286" s="667" t="str">
        <f>'Optimalizačné opatrenia'!$B$8</f>
        <v>Bezpečnosť</v>
      </c>
      <c r="D286" s="718" t="s">
        <v>530</v>
      </c>
      <c r="E286" s="703" t="s">
        <v>530</v>
      </c>
      <c r="F286" s="703" t="s">
        <v>530</v>
      </c>
      <c r="G286" s="703" t="str">
        <f t="shared" si="349"/>
        <v>A</v>
      </c>
      <c r="H286" s="703"/>
      <c r="I286" s="703"/>
      <c r="J286" s="703"/>
      <c r="K286" s="703"/>
      <c r="L286" s="703" t="str">
        <f t="shared" si="350"/>
        <v>A</v>
      </c>
      <c r="M286" s="703" t="str">
        <f t="shared" si="350"/>
        <v>A</v>
      </c>
      <c r="N286" s="703" t="s">
        <v>530</v>
      </c>
      <c r="O286" s="703"/>
      <c r="P286" s="703" t="str">
        <f t="shared" si="351"/>
        <v>A</v>
      </c>
      <c r="Q286" s="703" t="str">
        <f t="shared" si="351"/>
        <v>A</v>
      </c>
      <c r="R286" s="703" t="str">
        <f t="shared" si="351"/>
        <v>A</v>
      </c>
      <c r="S286" s="703" t="str">
        <f t="shared" si="352"/>
        <v>A</v>
      </c>
      <c r="T286" s="703" t="str">
        <f t="shared" si="353"/>
        <v>A</v>
      </c>
      <c r="U286" s="703" t="str">
        <f t="shared" si="354"/>
        <v>A</v>
      </c>
      <c r="V286" s="703" t="str">
        <f t="shared" si="355"/>
        <v>A</v>
      </c>
      <c r="W286" s="703" t="str">
        <f t="shared" si="356"/>
        <v>A</v>
      </c>
      <c r="X286" s="703" t="str">
        <f t="shared" si="357"/>
        <v>A</v>
      </c>
      <c r="Y286" s="703" t="str">
        <f t="shared" si="358"/>
        <v>A</v>
      </c>
      <c r="Z286" s="703" t="str">
        <f t="shared" si="359"/>
        <v>A</v>
      </c>
      <c r="AA286" s="703" t="str">
        <f t="shared" si="360"/>
        <v>A</v>
      </c>
      <c r="AB286" s="703" t="str">
        <f t="shared" si="361"/>
        <v>A</v>
      </c>
      <c r="AC286" s="703" t="str">
        <f t="shared" si="362"/>
        <v>A</v>
      </c>
      <c r="AD286" s="804"/>
      <c r="AE286" s="804"/>
      <c r="AF286" s="791"/>
      <c r="AG286" s="798"/>
      <c r="AH286" s="928"/>
      <c r="AI286" s="732"/>
      <c r="AJ286" s="733"/>
    </row>
    <row r="287" spans="1:52" hidden="1" outlineLevel="1" x14ac:dyDescent="0.25">
      <c r="A287" s="159"/>
      <c r="B287" s="1359"/>
      <c r="C287" s="667" t="str">
        <f>'Optimalizačné opatrenia'!$B$9</f>
        <v>Auditovateľnosť</v>
      </c>
      <c r="D287" s="718" t="s">
        <v>530</v>
      </c>
      <c r="E287" s="703" t="s">
        <v>530</v>
      </c>
      <c r="F287" s="703" t="s">
        <v>530</v>
      </c>
      <c r="G287" s="703" t="str">
        <f t="shared" si="349"/>
        <v>A</v>
      </c>
      <c r="H287" s="703"/>
      <c r="I287" s="703"/>
      <c r="J287" s="703"/>
      <c r="K287" s="703"/>
      <c r="L287" s="703" t="str">
        <f t="shared" si="350"/>
        <v>A</v>
      </c>
      <c r="M287" s="703" t="str">
        <f t="shared" si="350"/>
        <v>A</v>
      </c>
      <c r="N287" s="703" t="s">
        <v>530</v>
      </c>
      <c r="O287" s="703"/>
      <c r="P287" s="703" t="str">
        <f t="shared" si="351"/>
        <v>A</v>
      </c>
      <c r="Q287" s="703" t="str">
        <f t="shared" si="351"/>
        <v>A</v>
      </c>
      <c r="R287" s="703" t="str">
        <f t="shared" si="351"/>
        <v>N</v>
      </c>
      <c r="S287" s="703" t="str">
        <f t="shared" si="352"/>
        <v>N</v>
      </c>
      <c r="T287" s="703" t="str">
        <f t="shared" si="353"/>
        <v>N</v>
      </c>
      <c r="U287" s="703" t="str">
        <f t="shared" si="354"/>
        <v>A</v>
      </c>
      <c r="V287" s="703" t="str">
        <f t="shared" si="355"/>
        <v>A</v>
      </c>
      <c r="W287" s="703" t="str">
        <f t="shared" si="356"/>
        <v>A</v>
      </c>
      <c r="X287" s="703" t="str">
        <f t="shared" si="357"/>
        <v>A</v>
      </c>
      <c r="Y287" s="703" t="str">
        <f t="shared" si="358"/>
        <v>N</v>
      </c>
      <c r="Z287" s="703" t="str">
        <f t="shared" si="359"/>
        <v>N</v>
      </c>
      <c r="AA287" s="703" t="str">
        <f t="shared" si="360"/>
        <v>A</v>
      </c>
      <c r="AB287" s="703" t="str">
        <f t="shared" si="361"/>
        <v>A</v>
      </c>
      <c r="AC287" s="703" t="str">
        <f t="shared" si="362"/>
        <v>N</v>
      </c>
      <c r="AD287" s="804"/>
      <c r="AE287" s="804"/>
      <c r="AF287" s="791"/>
      <c r="AG287" s="798"/>
      <c r="AH287" s="928"/>
      <c r="AI287" s="732"/>
      <c r="AJ287" s="733"/>
    </row>
    <row r="288" spans="1:52" hidden="1" outlineLevel="1" x14ac:dyDescent="0.25">
      <c r="A288" s="159"/>
      <c r="B288" s="1359"/>
      <c r="C288" s="667" t="str">
        <f>'Optimalizačné opatrenia'!$B$10</f>
        <v>Transparentnosť</v>
      </c>
      <c r="D288" s="718" t="s">
        <v>530</v>
      </c>
      <c r="E288" s="703" t="s">
        <v>530</v>
      </c>
      <c r="F288" s="703" t="s">
        <v>530</v>
      </c>
      <c r="G288" s="703" t="str">
        <f t="shared" si="349"/>
        <v>N</v>
      </c>
      <c r="H288" s="703"/>
      <c r="I288" s="703"/>
      <c r="J288" s="703"/>
      <c r="K288" s="703"/>
      <c r="L288" s="703" t="str">
        <f t="shared" si="350"/>
        <v>N</v>
      </c>
      <c r="M288" s="703" t="str">
        <f t="shared" si="350"/>
        <v>N</v>
      </c>
      <c r="N288" s="703" t="s">
        <v>530</v>
      </c>
      <c r="O288" s="703"/>
      <c r="P288" s="703" t="str">
        <f t="shared" si="351"/>
        <v>A</v>
      </c>
      <c r="Q288" s="703" t="str">
        <f t="shared" si="351"/>
        <v>N</v>
      </c>
      <c r="R288" s="703" t="str">
        <f t="shared" si="351"/>
        <v>N</v>
      </c>
      <c r="S288" s="703" t="str">
        <f t="shared" si="352"/>
        <v>N</v>
      </c>
      <c r="T288" s="703" t="str">
        <f t="shared" si="353"/>
        <v>N</v>
      </c>
      <c r="U288" s="703" t="str">
        <f t="shared" si="354"/>
        <v>N</v>
      </c>
      <c r="V288" s="703" t="str">
        <f t="shared" si="355"/>
        <v>A</v>
      </c>
      <c r="W288" s="703" t="str">
        <f t="shared" si="356"/>
        <v>N</v>
      </c>
      <c r="X288" s="703" t="str">
        <f t="shared" si="357"/>
        <v>N</v>
      </c>
      <c r="Y288" s="703" t="str">
        <f t="shared" si="358"/>
        <v>N</v>
      </c>
      <c r="Z288" s="703" t="str">
        <f t="shared" si="359"/>
        <v>N</v>
      </c>
      <c r="AA288" s="703" t="str">
        <f t="shared" si="360"/>
        <v>A</v>
      </c>
      <c r="AB288" s="703" t="str">
        <f t="shared" si="361"/>
        <v>N</v>
      </c>
      <c r="AC288" s="703" t="str">
        <f t="shared" si="362"/>
        <v>N</v>
      </c>
      <c r="AD288" s="804"/>
      <c r="AE288" s="804"/>
      <c r="AF288" s="791"/>
      <c r="AG288" s="798"/>
      <c r="AH288" s="928"/>
      <c r="AI288" s="732"/>
      <c r="AJ288" s="733"/>
    </row>
    <row r="289" spans="1:52" hidden="1" outlineLevel="1" x14ac:dyDescent="0.25">
      <c r="A289" s="159"/>
      <c r="B289" s="1359"/>
      <c r="C289" s="667" t="str">
        <f>'Optimalizačné opatrenia'!$B$11</f>
        <v>Analyzovatelnosť</v>
      </c>
      <c r="D289" s="718" t="s">
        <v>530</v>
      </c>
      <c r="E289" s="703" t="s">
        <v>530</v>
      </c>
      <c r="F289" s="703" t="s">
        <v>530</v>
      </c>
      <c r="G289" s="703" t="str">
        <f t="shared" si="349"/>
        <v>A</v>
      </c>
      <c r="H289" s="703"/>
      <c r="I289" s="703"/>
      <c r="J289" s="703"/>
      <c r="K289" s="703"/>
      <c r="L289" s="703" t="str">
        <f t="shared" si="350"/>
        <v>A</v>
      </c>
      <c r="M289" s="703" t="str">
        <f t="shared" si="350"/>
        <v>A</v>
      </c>
      <c r="N289" s="703" t="s">
        <v>530</v>
      </c>
      <c r="O289" s="703"/>
      <c r="P289" s="703" t="str">
        <f t="shared" si="351"/>
        <v>A</v>
      </c>
      <c r="Q289" s="703" t="str">
        <f t="shared" si="351"/>
        <v>A</v>
      </c>
      <c r="R289" s="703" t="str">
        <f t="shared" si="351"/>
        <v>N</v>
      </c>
      <c r="S289" s="703" t="str">
        <f t="shared" si="352"/>
        <v>N</v>
      </c>
      <c r="T289" s="703" t="str">
        <f t="shared" si="353"/>
        <v>N</v>
      </c>
      <c r="U289" s="703" t="str">
        <f t="shared" si="354"/>
        <v>A</v>
      </c>
      <c r="V289" s="703" t="str">
        <f t="shared" si="355"/>
        <v>A</v>
      </c>
      <c r="W289" s="703" t="str">
        <f t="shared" si="356"/>
        <v>A</v>
      </c>
      <c r="X289" s="703" t="str">
        <f t="shared" si="357"/>
        <v>A</v>
      </c>
      <c r="Y289" s="703" t="str">
        <f t="shared" si="358"/>
        <v>N</v>
      </c>
      <c r="Z289" s="703" t="str">
        <f t="shared" si="359"/>
        <v>N</v>
      </c>
      <c r="AA289" s="703" t="str">
        <f t="shared" si="360"/>
        <v>A</v>
      </c>
      <c r="AB289" s="703" t="str">
        <f t="shared" si="361"/>
        <v>A</v>
      </c>
      <c r="AC289" s="703" t="str">
        <f t="shared" si="362"/>
        <v>N</v>
      </c>
      <c r="AD289" s="804"/>
      <c r="AE289" s="804"/>
      <c r="AF289" s="791"/>
      <c r="AG289" s="798"/>
      <c r="AH289" s="928"/>
      <c r="AI289" s="732"/>
      <c r="AJ289" s="733"/>
    </row>
    <row r="290" spans="1:52" hidden="1" outlineLevel="1" x14ac:dyDescent="0.25">
      <c r="A290" s="159"/>
      <c r="B290" s="1359"/>
      <c r="C290" s="667" t="str">
        <f>'Optimalizačné opatrenia'!$B$12</f>
        <v>Integrácia</v>
      </c>
      <c r="D290" s="718" t="s">
        <v>530</v>
      </c>
      <c r="E290" s="703" t="s">
        <v>530</v>
      </c>
      <c r="F290" s="703" t="s">
        <v>530</v>
      </c>
      <c r="G290" s="703" t="str">
        <f t="shared" si="349"/>
        <v>A</v>
      </c>
      <c r="H290" s="703"/>
      <c r="I290" s="703"/>
      <c r="J290" s="703"/>
      <c r="K290" s="703"/>
      <c r="L290" s="703" t="str">
        <f t="shared" si="350"/>
        <v>A</v>
      </c>
      <c r="M290" s="703" t="str">
        <f t="shared" si="350"/>
        <v>A</v>
      </c>
      <c r="N290" s="703" t="s">
        <v>530</v>
      </c>
      <c r="O290" s="703"/>
      <c r="P290" s="703" t="str">
        <f t="shared" si="351"/>
        <v>A</v>
      </c>
      <c r="Q290" s="703" t="str">
        <f t="shared" si="351"/>
        <v>A</v>
      </c>
      <c r="R290" s="703" t="str">
        <f t="shared" si="351"/>
        <v>A</v>
      </c>
      <c r="S290" s="703" t="str">
        <f t="shared" si="352"/>
        <v>A</v>
      </c>
      <c r="T290" s="703" t="str">
        <f t="shared" si="353"/>
        <v>A</v>
      </c>
      <c r="U290" s="703" t="str">
        <f t="shared" si="354"/>
        <v>A</v>
      </c>
      <c r="V290" s="703" t="str">
        <f t="shared" si="355"/>
        <v>A</v>
      </c>
      <c r="W290" s="703" t="str">
        <f t="shared" si="356"/>
        <v>A</v>
      </c>
      <c r="X290" s="703" t="str">
        <f t="shared" si="357"/>
        <v>A</v>
      </c>
      <c r="Y290" s="703" t="str">
        <f t="shared" si="358"/>
        <v>A</v>
      </c>
      <c r="Z290" s="703" t="str">
        <f t="shared" si="359"/>
        <v>A</v>
      </c>
      <c r="AA290" s="703" t="str">
        <f t="shared" si="360"/>
        <v>A</v>
      </c>
      <c r="AB290" s="703" t="str">
        <f t="shared" si="361"/>
        <v>A</v>
      </c>
      <c r="AC290" s="703" t="str">
        <f t="shared" si="362"/>
        <v>A</v>
      </c>
      <c r="AD290" s="804"/>
      <c r="AE290" s="804"/>
      <c r="AF290" s="791"/>
      <c r="AG290" s="798"/>
      <c r="AH290" s="928"/>
      <c r="AI290" s="732"/>
      <c r="AJ290" s="733"/>
    </row>
    <row r="291" spans="1:52" hidden="1" outlineLevel="1" x14ac:dyDescent="0.25">
      <c r="A291" s="159"/>
      <c r="B291" s="1359"/>
      <c r="C291" s="672" t="str">
        <f>'Optimalizačné opatrenia'!$B$13</f>
        <v>Proaktivita</v>
      </c>
      <c r="D291" s="718" t="s">
        <v>530</v>
      </c>
      <c r="E291" s="703" t="s">
        <v>530</v>
      </c>
      <c r="F291" s="703" t="s">
        <v>530</v>
      </c>
      <c r="G291" s="703" t="str">
        <f t="shared" si="349"/>
        <v>N</v>
      </c>
      <c r="H291" s="703"/>
      <c r="I291" s="703"/>
      <c r="J291" s="703"/>
      <c r="K291" s="703"/>
      <c r="L291" s="703" t="str">
        <f t="shared" si="350"/>
        <v>A</v>
      </c>
      <c r="M291" s="703" t="str">
        <f t="shared" si="350"/>
        <v>N</v>
      </c>
      <c r="N291" s="703" t="s">
        <v>530</v>
      </c>
      <c r="O291" s="703"/>
      <c r="P291" s="703" t="str">
        <f t="shared" si="351"/>
        <v>N</v>
      </c>
      <c r="Q291" s="703" t="str">
        <f t="shared" si="351"/>
        <v>N</v>
      </c>
      <c r="R291" s="703" t="str">
        <f t="shared" si="351"/>
        <v>A</v>
      </c>
      <c r="S291" s="703" t="str">
        <f t="shared" si="352"/>
        <v>A</v>
      </c>
      <c r="T291" s="703" t="str">
        <f t="shared" si="353"/>
        <v>A</v>
      </c>
      <c r="U291" s="703" t="str">
        <f t="shared" si="354"/>
        <v>N</v>
      </c>
      <c r="V291" s="703" t="str">
        <f t="shared" si="355"/>
        <v>A</v>
      </c>
      <c r="W291" s="703" t="str">
        <f t="shared" si="356"/>
        <v>N</v>
      </c>
      <c r="X291" s="703" t="str">
        <f t="shared" si="357"/>
        <v>N</v>
      </c>
      <c r="Y291" s="703" t="str">
        <f t="shared" si="358"/>
        <v>A</v>
      </c>
      <c r="Z291" s="703" t="str">
        <f t="shared" si="359"/>
        <v>A</v>
      </c>
      <c r="AA291" s="703" t="str">
        <f t="shared" si="360"/>
        <v>A</v>
      </c>
      <c r="AB291" s="703" t="str">
        <f t="shared" si="361"/>
        <v>N</v>
      </c>
      <c r="AC291" s="703" t="str">
        <f t="shared" si="362"/>
        <v>A</v>
      </c>
      <c r="AD291" s="804"/>
      <c r="AE291" s="804"/>
      <c r="AF291" s="791"/>
      <c r="AG291" s="798"/>
      <c r="AH291" s="928"/>
      <c r="AI291" s="732"/>
      <c r="AJ291" s="733"/>
    </row>
    <row r="292" spans="1:52" hidden="1" outlineLevel="1" x14ac:dyDescent="0.25">
      <c r="A292" s="159"/>
      <c r="B292" s="720"/>
      <c r="C292" s="722" t="s">
        <v>538</v>
      </c>
      <c r="D292" s="723">
        <v>0</v>
      </c>
      <c r="E292" s="721">
        <v>0</v>
      </c>
      <c r="F292" s="724">
        <v>0</v>
      </c>
      <c r="G292" s="724">
        <f t="shared" si="349"/>
        <v>0.3</v>
      </c>
      <c r="H292" s="724"/>
      <c r="I292" s="724"/>
      <c r="J292" s="724"/>
      <c r="K292" s="724"/>
      <c r="L292" s="724">
        <f t="shared" si="350"/>
        <v>0.4</v>
      </c>
      <c r="M292" s="724">
        <f t="shared" si="350"/>
        <v>0.3</v>
      </c>
      <c r="N292" s="724">
        <v>0</v>
      </c>
      <c r="O292" s="724"/>
      <c r="P292" s="724">
        <f t="shared" si="351"/>
        <v>0.45</v>
      </c>
      <c r="Q292" s="724">
        <f t="shared" si="351"/>
        <v>0.3</v>
      </c>
      <c r="R292" s="724">
        <f t="shared" si="351"/>
        <v>0.25</v>
      </c>
      <c r="S292" s="724">
        <f t="shared" si="352"/>
        <v>0.25</v>
      </c>
      <c r="T292" s="724">
        <f t="shared" si="353"/>
        <v>0.25</v>
      </c>
      <c r="U292" s="724">
        <f t="shared" si="354"/>
        <v>0.3</v>
      </c>
      <c r="V292" s="724">
        <f t="shared" si="355"/>
        <v>0.5</v>
      </c>
      <c r="W292" s="724">
        <f t="shared" si="356"/>
        <v>0.3</v>
      </c>
      <c r="X292" s="724">
        <f t="shared" si="357"/>
        <v>0.3</v>
      </c>
      <c r="Y292" s="724">
        <f t="shared" si="358"/>
        <v>0.25</v>
      </c>
      <c r="Z292" s="724">
        <f t="shared" si="359"/>
        <v>0.25</v>
      </c>
      <c r="AA292" s="724">
        <f t="shared" si="360"/>
        <v>0.5</v>
      </c>
      <c r="AB292" s="724">
        <f t="shared" si="361"/>
        <v>0.3</v>
      </c>
      <c r="AC292" s="724">
        <f t="shared" si="362"/>
        <v>0.25</v>
      </c>
      <c r="AD292" s="805"/>
      <c r="AE292" s="805"/>
      <c r="AF292" s="792"/>
      <c r="AG292" s="799"/>
      <c r="AH292" s="929"/>
      <c r="AI292" s="735"/>
      <c r="AJ292" s="736"/>
    </row>
    <row r="293" spans="1:52" ht="15.75" collapsed="1" thickBot="1" x14ac:dyDescent="0.3">
      <c r="A293" s="159"/>
      <c r="B293" s="741"/>
      <c r="C293" s="742" t="s">
        <v>588</v>
      </c>
      <c r="D293" s="743"/>
      <c r="E293" s="743"/>
      <c r="F293" s="743"/>
      <c r="G293" s="744"/>
      <c r="H293" s="744"/>
      <c r="I293" s="744"/>
      <c r="J293" s="744"/>
      <c r="K293" s="744"/>
      <c r="L293" s="744"/>
      <c r="M293" s="744"/>
      <c r="N293" s="744"/>
      <c r="O293" s="744"/>
      <c r="P293" s="744"/>
      <c r="Q293" s="744"/>
      <c r="R293" s="744"/>
      <c r="S293" s="744"/>
      <c r="T293" s="744"/>
      <c r="U293" s="744"/>
      <c r="V293" s="744"/>
      <c r="W293" s="744"/>
      <c r="X293" s="744"/>
      <c r="Y293" s="744"/>
      <c r="Z293" s="744"/>
      <c r="AA293" s="744"/>
      <c r="AB293" s="744"/>
      <c r="AC293" s="744"/>
      <c r="AD293" s="751"/>
      <c r="AE293" s="751"/>
      <c r="AF293" s="793"/>
      <c r="AG293" s="800">
        <f>'Procesy - AS IS'!AG71/(1+$AF194)-'Procesy - AS IS'!AG71</f>
        <v>39.655273531932409</v>
      </c>
      <c r="AH293" s="930">
        <f>'Procesy - AS IS'!AH71/(1+$AF194)-'Procesy - AS IS'!AH71</f>
        <v>2.0487758382541594</v>
      </c>
      <c r="AI293" s="746">
        <f>'Procesy - AS IS'!AI71/(1+$AF194)-'Procesy - AS IS'!AI71</f>
        <v>1.2296208847110819</v>
      </c>
      <c r="AJ293" s="747">
        <f>'Procesy - AS IS'!AJ52/(1+$AF194)-'Procesy - AS IS'!AJ52</f>
        <v>1.5370261058888532</v>
      </c>
    </row>
    <row r="294" spans="1:52" x14ac:dyDescent="0.25">
      <c r="A294" s="159"/>
      <c r="B294" s="657" t="str">
        <f>'Procesy - AS IS'!B72</f>
        <v>Zdroj 4</v>
      </c>
      <c r="C294" s="658" t="str">
        <f>'Procesy - AS IS'!C72</f>
        <v>Inšpekcia ochrany prírody a krajiny</v>
      </c>
      <c r="D294" s="726">
        <f>D295*$AG295/($AG294-$AG351)+D309*$AG309/($AG294-$AG351)+D323*$AG323/($AG294-$AG351)+D337*$AG337/($AG294-$AG351)</f>
        <v>0</v>
      </c>
      <c r="E294" s="651">
        <f>E295*$AG295/($AG294-$AG351)+E309*$AG309/($AG294-$AG351)+E323*$AG323/($AG294-$AG351)+E337*$AG337/($AG294-$AG351)</f>
        <v>0</v>
      </c>
      <c r="F294" s="651">
        <f>F295*$AG295/($AG294-$AG351)+F309*$AG309/($AG294-$AG351)+F323*$AG323/($AG294-$AG351)+F337*$AG337/($AG294-$AG351)</f>
        <v>0</v>
      </c>
      <c r="G294" s="661">
        <f>G295*$AG295/($AG294-$AG351)+G309*$AG309/($AG294-$AG351)+G323*$AG323/($AG294-$AG351)+G337*$AG337/($AG294-$AG351)</f>
        <v>-1.0788253456046115</v>
      </c>
      <c r="H294" s="654"/>
      <c r="I294" s="654"/>
      <c r="J294" s="654"/>
      <c r="K294" s="654"/>
      <c r="L294" s="661">
        <f>L295*$AG295/($AG294-$AG351)+L309*$AG309/($AG294-$AG351)+L323*$AG323/($AG294-$AG351)+L337*$AG337/($AG294-$AG351)</f>
        <v>-5.0102332980453107E-2</v>
      </c>
      <c r="M294" s="661">
        <f>M295*$AG295/($AG294-$AG351)+M309*$AG309/($AG294-$AG351)+M323*$AG323/($AG294-$AG351)+M337*$AG337/($AG294-$AG351)</f>
        <v>0</v>
      </c>
      <c r="N294" s="651">
        <f>N295*$AG295/($AG294-$AG351)+N309*$AG309/($AG294-$AG351)+N323*$AG323/($AG294-$AG351)+N337*$AG337/($AG294-$AG351)</f>
        <v>0</v>
      </c>
      <c r="O294" s="651"/>
      <c r="P294" s="651">
        <f t="shared" ref="P294:AC294" si="363">P295*$AG295/($AG294-$AG351)+P309*$AG309/($AG294-$AG351)+P323*$AG323/($AG294-$AG351)+P337*$AG337/($AG294-$AG351)</f>
        <v>-1.0801896714073658</v>
      </c>
      <c r="Q294" s="651">
        <f t="shared" si="363"/>
        <v>0</v>
      </c>
      <c r="R294" s="651">
        <f t="shared" si="363"/>
        <v>-6.2879436547167487</v>
      </c>
      <c r="S294" s="651">
        <f t="shared" si="363"/>
        <v>-1.2309907282315722</v>
      </c>
      <c r="T294" s="651">
        <f t="shared" si="363"/>
        <v>-2.6457649826268477</v>
      </c>
      <c r="U294" s="651">
        <f t="shared" si="363"/>
        <v>-0.20599200586324068</v>
      </c>
      <c r="V294" s="651">
        <f t="shared" si="363"/>
        <v>-0.37611167257446926</v>
      </c>
      <c r="W294" s="651">
        <f t="shared" si="363"/>
        <v>-7.2851095326977783E-2</v>
      </c>
      <c r="X294" s="651">
        <f t="shared" si="363"/>
        <v>0</v>
      </c>
      <c r="Y294" s="651">
        <f t="shared" si="363"/>
        <v>-2.7828050164935698</v>
      </c>
      <c r="Z294" s="651">
        <f t="shared" si="363"/>
        <v>-7.7303648236074635E-3</v>
      </c>
      <c r="AA294" s="651">
        <f t="shared" si="363"/>
        <v>-1.9325912059018659E-2</v>
      </c>
      <c r="AB294" s="651">
        <f t="shared" si="363"/>
        <v>-6.329061742148101E-2</v>
      </c>
      <c r="AC294" s="652">
        <f t="shared" si="363"/>
        <v>-0.53214162443607393</v>
      </c>
      <c r="AD294" s="752"/>
      <c r="AE294" s="752">
        <f>SUM(AE295:AE350)</f>
        <v>-77.576103557459504</v>
      </c>
      <c r="AF294" s="790">
        <f>-SUM(AG295:AG350)/('Procesy - AS IS'!AG72+SUM(AG295:AG350))</f>
        <v>-0.39291525238818048</v>
      </c>
      <c r="AG294" s="801">
        <f>SUM(AG295:AG351)</f>
        <v>334.61091928894706</v>
      </c>
      <c r="AH294" s="931">
        <f>SUM(AH295:AH351)</f>
        <v>184.43788605401548</v>
      </c>
      <c r="AI294" s="730">
        <f>SUM(AI295:AI351)</f>
        <v>108.01296230695041</v>
      </c>
      <c r="AJ294" s="738">
        <f>SUM(AJ295:AJ351)</f>
        <v>12.933322400331164</v>
      </c>
      <c r="AL294" s="232"/>
      <c r="AM294"/>
      <c r="AZ294" s="227"/>
    </row>
    <row r="295" spans="1:52" ht="30" x14ac:dyDescent="0.25">
      <c r="A295" s="159">
        <f ca="1">OFFSET(A295,-16,0)+1</f>
        <v>21</v>
      </c>
      <c r="B295" s="668" t="str">
        <f ca="1">'Procesy - AS IS'!B73</f>
        <v>Meranie č. 21</v>
      </c>
      <c r="C295" s="671" t="str">
        <f>'Procesy - AS IS'!C73</f>
        <v>Eko-Donau s.r.o., Preverenie legálnosti výrubu drevín, 5442/2018</v>
      </c>
      <c r="D295" s="726">
        <f>-'Procesy - AS IS'!D75*D308</f>
        <v>0</v>
      </c>
      <c r="E295" s="653">
        <f>-'Procesy - AS IS'!E75*E308</f>
        <v>0</v>
      </c>
      <c r="F295" s="653">
        <f>-'Procesy - AS IS'!F75*F308</f>
        <v>0</v>
      </c>
      <c r="G295" s="653">
        <f>-'Procesy - AS IS'!G75*G308</f>
        <v>-1.2</v>
      </c>
      <c r="H295" s="653" t="s">
        <v>555</v>
      </c>
      <c r="I295" s="653" t="s">
        <v>555</v>
      </c>
      <c r="J295" s="653" t="s">
        <v>555</v>
      </c>
      <c r="K295" s="653" t="s">
        <v>555</v>
      </c>
      <c r="L295" s="653">
        <f>-'Procesy - AS IS'!L75*L308</f>
        <v>-6.25E-2</v>
      </c>
      <c r="M295" s="653">
        <f>-'Procesy - AS IS'!M75*M308</f>
        <v>0</v>
      </c>
      <c r="N295" s="653">
        <f>-'Procesy - AS IS'!N75*N308</f>
        <v>0</v>
      </c>
      <c r="O295" s="653" t="s">
        <v>559</v>
      </c>
      <c r="P295" s="653">
        <f>-'Procesy - AS IS'!P75*P308</f>
        <v>-1.35</v>
      </c>
      <c r="Q295" s="653">
        <f>-'Procesy - AS IS'!Q75*Q308</f>
        <v>0</v>
      </c>
      <c r="R295" s="653">
        <f>-'Procesy - AS IS'!R75*R308</f>
        <v>-5.2532687651331731</v>
      </c>
      <c r="S295" s="653">
        <f>-'Procesy - AS IS'!S75*S308</f>
        <v>-0.1811138014527845</v>
      </c>
      <c r="T295" s="653">
        <f>-'Procesy - AS IS'!T75*T308</f>
        <v>-2.6266343825665865</v>
      </c>
      <c r="U295" s="653">
        <f>-'Procesy - AS IS'!U75*U308</f>
        <v>0</v>
      </c>
      <c r="V295" s="653">
        <f>-'Procesy - AS IS'!V75*V308</f>
        <v>-0.25</v>
      </c>
      <c r="W295" s="653">
        <f>-'Procesy - AS IS'!W75*W308</f>
        <v>-4.6125907990314768E-2</v>
      </c>
      <c r="X295" s="653">
        <f>-'Procesy - AS IS'!X75*X308</f>
        <v>0</v>
      </c>
      <c r="Y295" s="653">
        <f>-'Procesy - AS IS'!Y75*Y308</f>
        <v>-2.460048426150121</v>
      </c>
      <c r="Z295" s="653">
        <f>-'Procesy - AS IS'!Z75*Z308</f>
        <v>-7.2639225181598058E-3</v>
      </c>
      <c r="AA295" s="653">
        <f>-'Procesy - AS IS'!AA75*AA308</f>
        <v>-1.8159806295399514E-2</v>
      </c>
      <c r="AB295" s="653">
        <f>-'Procesy - AS IS'!AB75*AB308</f>
        <v>-0.13075060532687652</v>
      </c>
      <c r="AC295" s="653">
        <f>-'Procesy - AS IS'!AC75*AC308</f>
        <v>-0.58111380145278446</v>
      </c>
      <c r="AD295" s="754"/>
      <c r="AE295" s="754">
        <f>SUM(D295:AC295)</f>
        <v>-14.166979418886198</v>
      </c>
      <c r="AF295" s="728">
        <f>AE295/'Procesy - AS IS'!AD75</f>
        <v>-0.39189956295316397</v>
      </c>
      <c r="AG295" s="797">
        <f>('Procesy - AS IS'!AG75/(1+$AF295)-'Procesy - AS IS'!AG75)/2</f>
        <v>133.08206148122753</v>
      </c>
      <c r="AH295" s="927">
        <f>('Procesy - AS IS'!AH75/(1+$AF295)-'Procesy - AS IS'!AH75)/2</f>
        <v>72.824566331131763</v>
      </c>
      <c r="AI295" s="730">
        <f>('Procesy - AS IS'!AI75/(1+$AF295)-'Procesy - AS IS'!AI75)/2</f>
        <v>40.923539486963421</v>
      </c>
      <c r="AJ295" s="731">
        <f>('Procesy - AS IS'!AJ75/(1+$AF295)-'Procesy - AS IS'!AJ75)/2</f>
        <v>4.8334889157830823</v>
      </c>
      <c r="AL295" s="232"/>
      <c r="AZ295" s="227"/>
    </row>
    <row r="296" spans="1:52" hidden="1" outlineLevel="1" x14ac:dyDescent="0.25">
      <c r="A296" s="159"/>
      <c r="B296" s="1358" t="s">
        <v>528</v>
      </c>
      <c r="C296" s="667" t="str">
        <f>'Optimalizačné opatrenia'!$B$2</f>
        <v>Modernizácia</v>
      </c>
      <c r="D296" s="718" t="s">
        <v>530</v>
      </c>
      <c r="E296" s="703" t="s">
        <v>530</v>
      </c>
      <c r="F296" s="703" t="s">
        <v>530</v>
      </c>
      <c r="G296" s="703" t="str">
        <f t="shared" ref="G296:G308" si="364">G80</f>
        <v>A</v>
      </c>
      <c r="H296" s="703"/>
      <c r="I296" s="703"/>
      <c r="J296" s="703"/>
      <c r="K296" s="703"/>
      <c r="L296" s="703" t="str">
        <f t="shared" ref="L296:L308" si="365">R210</f>
        <v>A</v>
      </c>
      <c r="M296" s="703" t="s">
        <v>530</v>
      </c>
      <c r="N296" s="703" t="s">
        <v>530</v>
      </c>
      <c r="O296" s="703"/>
      <c r="P296" s="703" t="str">
        <f t="shared" ref="P296:P308" si="366">P280</f>
        <v>A</v>
      </c>
      <c r="Q296" s="703" t="str">
        <f t="shared" ref="Q296:Q308" si="367">G296</f>
        <v>A</v>
      </c>
      <c r="R296" s="703" t="str">
        <f t="shared" ref="R296:R308" si="368">R166</f>
        <v>A</v>
      </c>
      <c r="S296" s="703" t="str">
        <f t="shared" ref="S296:S308" si="369">R296</f>
        <v>A</v>
      </c>
      <c r="T296" s="703" t="str">
        <f t="shared" ref="T296:T308" si="370">R296</f>
        <v>A</v>
      </c>
      <c r="U296" s="703" t="str">
        <f t="shared" ref="U296:U308" si="371">G296</f>
        <v>A</v>
      </c>
      <c r="V296" s="703" t="str">
        <f t="shared" ref="V296:W308" si="372">V10</f>
        <v>A</v>
      </c>
      <c r="W296" s="703" t="str">
        <f t="shared" si="372"/>
        <v>A</v>
      </c>
      <c r="X296" s="703" t="str">
        <f t="shared" ref="X296:X308" si="373">G296</f>
        <v>A</v>
      </c>
      <c r="Y296" s="703" t="str">
        <f t="shared" ref="Y296:Y308" si="374">R296</f>
        <v>A</v>
      </c>
      <c r="Z296" s="703" t="str">
        <f t="shared" ref="Z296:Z308" si="375">R296</f>
        <v>A</v>
      </c>
      <c r="AA296" s="703" t="str">
        <f t="shared" ref="AA296:AA308" si="376">$V296</f>
        <v>A</v>
      </c>
      <c r="AB296" s="703" t="str">
        <f t="shared" ref="AB296:AB308" si="377">G296</f>
        <v>A</v>
      </c>
      <c r="AC296" s="703" t="str">
        <f t="shared" ref="AC296:AC308" si="378">R296</f>
        <v>A</v>
      </c>
      <c r="AD296" s="804"/>
      <c r="AE296" s="804"/>
      <c r="AF296" s="791"/>
      <c r="AG296" s="798"/>
      <c r="AH296" s="928"/>
      <c r="AI296" s="732"/>
      <c r="AJ296" s="733"/>
    </row>
    <row r="297" spans="1:52" hidden="1" outlineLevel="1" x14ac:dyDescent="0.25">
      <c r="A297" s="159"/>
      <c r="B297" s="1359"/>
      <c r="C297" s="667" t="str">
        <f>'Optimalizačné opatrenia'!$B$3</f>
        <v>Sfunkčnenie</v>
      </c>
      <c r="D297" s="718" t="s">
        <v>530</v>
      </c>
      <c r="E297" s="703" t="s">
        <v>530</v>
      </c>
      <c r="F297" s="703" t="s">
        <v>530</v>
      </c>
      <c r="G297" s="703" t="str">
        <f t="shared" si="364"/>
        <v>N</v>
      </c>
      <c r="H297" s="703"/>
      <c r="I297" s="703"/>
      <c r="J297" s="703"/>
      <c r="K297" s="703"/>
      <c r="L297" s="703" t="str">
        <f t="shared" si="365"/>
        <v>N</v>
      </c>
      <c r="M297" s="703" t="s">
        <v>530</v>
      </c>
      <c r="N297" s="703" t="s">
        <v>530</v>
      </c>
      <c r="O297" s="703"/>
      <c r="P297" s="703" t="str">
        <f t="shared" si="366"/>
        <v>N</v>
      </c>
      <c r="Q297" s="703" t="str">
        <f t="shared" si="367"/>
        <v>N</v>
      </c>
      <c r="R297" s="703" t="str">
        <f t="shared" si="368"/>
        <v>N</v>
      </c>
      <c r="S297" s="703" t="str">
        <f t="shared" si="369"/>
        <v>N</v>
      </c>
      <c r="T297" s="703" t="str">
        <f t="shared" si="370"/>
        <v>N</v>
      </c>
      <c r="U297" s="703" t="str">
        <f t="shared" si="371"/>
        <v>N</v>
      </c>
      <c r="V297" s="703" t="str">
        <f t="shared" si="372"/>
        <v>N</v>
      </c>
      <c r="W297" s="703" t="str">
        <f t="shared" si="372"/>
        <v>N</v>
      </c>
      <c r="X297" s="703" t="str">
        <f t="shared" si="373"/>
        <v>N</v>
      </c>
      <c r="Y297" s="703" t="str">
        <f t="shared" si="374"/>
        <v>N</v>
      </c>
      <c r="Z297" s="703" t="str">
        <f t="shared" si="375"/>
        <v>N</v>
      </c>
      <c r="AA297" s="703" t="str">
        <f t="shared" si="376"/>
        <v>N</v>
      </c>
      <c r="AB297" s="703" t="str">
        <f t="shared" si="377"/>
        <v>N</v>
      </c>
      <c r="AC297" s="703" t="str">
        <f t="shared" si="378"/>
        <v>N</v>
      </c>
      <c r="AD297" s="804"/>
      <c r="AE297" s="804"/>
      <c r="AF297" s="791"/>
      <c r="AG297" s="798"/>
      <c r="AH297" s="928"/>
      <c r="AI297" s="732"/>
      <c r="AJ297" s="733"/>
    </row>
    <row r="298" spans="1:52" hidden="1" outlineLevel="1" x14ac:dyDescent="0.25">
      <c r="A298" s="159"/>
      <c r="B298" s="1359"/>
      <c r="C298" s="667" t="str">
        <f>'Optimalizačné opatrenia'!$B$4</f>
        <v>Zjednotenie</v>
      </c>
      <c r="D298" s="718" t="s">
        <v>530</v>
      </c>
      <c r="E298" s="703" t="s">
        <v>530</v>
      </c>
      <c r="F298" s="703" t="s">
        <v>530</v>
      </c>
      <c r="G298" s="703" t="str">
        <f t="shared" si="364"/>
        <v>A</v>
      </c>
      <c r="H298" s="703"/>
      <c r="I298" s="703"/>
      <c r="J298" s="703"/>
      <c r="K298" s="703"/>
      <c r="L298" s="703" t="str">
        <f t="shared" si="365"/>
        <v>A</v>
      </c>
      <c r="M298" s="703" t="s">
        <v>530</v>
      </c>
      <c r="N298" s="703" t="s">
        <v>530</v>
      </c>
      <c r="O298" s="703"/>
      <c r="P298" s="703" t="str">
        <f t="shared" si="366"/>
        <v>A</v>
      </c>
      <c r="Q298" s="703" t="str">
        <f t="shared" si="367"/>
        <v>A</v>
      </c>
      <c r="R298" s="703" t="str">
        <f t="shared" si="368"/>
        <v>A</v>
      </c>
      <c r="S298" s="703" t="str">
        <f t="shared" si="369"/>
        <v>A</v>
      </c>
      <c r="T298" s="703" t="str">
        <f t="shared" si="370"/>
        <v>A</v>
      </c>
      <c r="U298" s="703" t="str">
        <f t="shared" si="371"/>
        <v>A</v>
      </c>
      <c r="V298" s="703" t="str">
        <f t="shared" si="372"/>
        <v>A</v>
      </c>
      <c r="W298" s="703" t="str">
        <f t="shared" si="372"/>
        <v>A</v>
      </c>
      <c r="X298" s="703" t="str">
        <f t="shared" si="373"/>
        <v>A</v>
      </c>
      <c r="Y298" s="703" t="str">
        <f t="shared" si="374"/>
        <v>A</v>
      </c>
      <c r="Z298" s="703" t="str">
        <f t="shared" si="375"/>
        <v>A</v>
      </c>
      <c r="AA298" s="703" t="str">
        <f t="shared" si="376"/>
        <v>A</v>
      </c>
      <c r="AB298" s="703" t="str">
        <f t="shared" si="377"/>
        <v>A</v>
      </c>
      <c r="AC298" s="703" t="str">
        <f t="shared" si="378"/>
        <v>A</v>
      </c>
      <c r="AD298" s="804"/>
      <c r="AE298" s="804"/>
      <c r="AF298" s="791"/>
      <c r="AG298" s="798"/>
      <c r="AH298" s="928"/>
      <c r="AI298" s="732"/>
      <c r="AJ298" s="733"/>
    </row>
    <row r="299" spans="1:52" hidden="1" outlineLevel="1" x14ac:dyDescent="0.25">
      <c r="A299" s="159"/>
      <c r="B299" s="1359"/>
      <c r="C299" s="667" t="str">
        <f>'Optimalizačné opatrenia'!$B$5</f>
        <v>Centralizácia</v>
      </c>
      <c r="D299" s="718" t="s">
        <v>530</v>
      </c>
      <c r="E299" s="703" t="s">
        <v>530</v>
      </c>
      <c r="F299" s="703" t="s">
        <v>530</v>
      </c>
      <c r="G299" s="703" t="str">
        <f t="shared" si="364"/>
        <v>A</v>
      </c>
      <c r="H299" s="703"/>
      <c r="I299" s="703"/>
      <c r="J299" s="703"/>
      <c r="K299" s="703"/>
      <c r="L299" s="703" t="str">
        <f t="shared" si="365"/>
        <v>A</v>
      </c>
      <c r="M299" s="703" t="s">
        <v>530</v>
      </c>
      <c r="N299" s="703" t="s">
        <v>530</v>
      </c>
      <c r="O299" s="703"/>
      <c r="P299" s="703" t="str">
        <f t="shared" si="366"/>
        <v>A</v>
      </c>
      <c r="Q299" s="703" t="str">
        <f t="shared" si="367"/>
        <v>A</v>
      </c>
      <c r="R299" s="703" t="str">
        <f t="shared" si="368"/>
        <v>A</v>
      </c>
      <c r="S299" s="703" t="str">
        <f t="shared" si="369"/>
        <v>A</v>
      </c>
      <c r="T299" s="703" t="str">
        <f t="shared" si="370"/>
        <v>A</v>
      </c>
      <c r="U299" s="703" t="str">
        <f t="shared" si="371"/>
        <v>A</v>
      </c>
      <c r="V299" s="703" t="str">
        <f t="shared" si="372"/>
        <v>A</v>
      </c>
      <c r="W299" s="703" t="str">
        <f t="shared" si="372"/>
        <v>A</v>
      </c>
      <c r="X299" s="703" t="str">
        <f t="shared" si="373"/>
        <v>A</v>
      </c>
      <c r="Y299" s="703" t="str">
        <f t="shared" si="374"/>
        <v>A</v>
      </c>
      <c r="Z299" s="703" t="str">
        <f t="shared" si="375"/>
        <v>A</v>
      </c>
      <c r="AA299" s="703" t="str">
        <f t="shared" si="376"/>
        <v>A</v>
      </c>
      <c r="AB299" s="703" t="str">
        <f t="shared" si="377"/>
        <v>A</v>
      </c>
      <c r="AC299" s="703" t="str">
        <f t="shared" si="378"/>
        <v>A</v>
      </c>
      <c r="AD299" s="804"/>
      <c r="AE299" s="804"/>
      <c r="AF299" s="791"/>
      <c r="AG299" s="798"/>
      <c r="AH299" s="928"/>
      <c r="AI299" s="732"/>
      <c r="AJ299" s="733"/>
    </row>
    <row r="300" spans="1:52" hidden="1" outlineLevel="1" x14ac:dyDescent="0.25">
      <c r="A300" s="159"/>
      <c r="B300" s="1359"/>
      <c r="C300" s="667" t="str">
        <f>'Optimalizačné opatrenia'!$B$6</f>
        <v>Elektronizácia</v>
      </c>
      <c r="D300" s="718" t="s">
        <v>530</v>
      </c>
      <c r="E300" s="703" t="s">
        <v>530</v>
      </c>
      <c r="F300" s="703" t="s">
        <v>530</v>
      </c>
      <c r="G300" s="703" t="str">
        <f t="shared" si="364"/>
        <v>A</v>
      </c>
      <c r="H300" s="703"/>
      <c r="I300" s="703"/>
      <c r="J300" s="703"/>
      <c r="K300" s="703"/>
      <c r="L300" s="703" t="str">
        <f t="shared" si="365"/>
        <v>A</v>
      </c>
      <c r="M300" s="703" t="s">
        <v>530</v>
      </c>
      <c r="N300" s="703" t="s">
        <v>530</v>
      </c>
      <c r="O300" s="703"/>
      <c r="P300" s="703" t="str">
        <f t="shared" si="366"/>
        <v>A</v>
      </c>
      <c r="Q300" s="703" t="str">
        <f t="shared" si="367"/>
        <v>A</v>
      </c>
      <c r="R300" s="703" t="str">
        <f t="shared" si="368"/>
        <v>A</v>
      </c>
      <c r="S300" s="703" t="str">
        <f t="shared" si="369"/>
        <v>A</v>
      </c>
      <c r="T300" s="703" t="str">
        <f t="shared" si="370"/>
        <v>A</v>
      </c>
      <c r="U300" s="703" t="str">
        <f t="shared" si="371"/>
        <v>A</v>
      </c>
      <c r="V300" s="703" t="str">
        <f t="shared" si="372"/>
        <v>A</v>
      </c>
      <c r="W300" s="703" t="str">
        <f t="shared" si="372"/>
        <v>A</v>
      </c>
      <c r="X300" s="703" t="str">
        <f t="shared" si="373"/>
        <v>A</v>
      </c>
      <c r="Y300" s="703" t="str">
        <f t="shared" si="374"/>
        <v>A</v>
      </c>
      <c r="Z300" s="703" t="str">
        <f t="shared" si="375"/>
        <v>A</v>
      </c>
      <c r="AA300" s="703" t="str">
        <f t="shared" si="376"/>
        <v>A</v>
      </c>
      <c r="AB300" s="703" t="str">
        <f t="shared" si="377"/>
        <v>A</v>
      </c>
      <c r="AC300" s="703" t="str">
        <f t="shared" si="378"/>
        <v>A</v>
      </c>
      <c r="AD300" s="804"/>
      <c r="AE300" s="804"/>
      <c r="AF300" s="791"/>
      <c r="AG300" s="798"/>
      <c r="AH300" s="928"/>
      <c r="AI300" s="732"/>
      <c r="AJ300" s="733"/>
    </row>
    <row r="301" spans="1:52" hidden="1" outlineLevel="1" x14ac:dyDescent="0.25">
      <c r="A301" s="159"/>
      <c r="B301" s="1359"/>
      <c r="C301" s="667" t="str">
        <f>'Optimalizačné opatrenia'!$B$7</f>
        <v>Automatizácia</v>
      </c>
      <c r="D301" s="718" t="s">
        <v>530</v>
      </c>
      <c r="E301" s="703" t="s">
        <v>530</v>
      </c>
      <c r="F301" s="703" t="s">
        <v>530</v>
      </c>
      <c r="G301" s="703" t="str">
        <f t="shared" si="364"/>
        <v>A</v>
      </c>
      <c r="H301" s="703"/>
      <c r="I301" s="703"/>
      <c r="J301" s="703"/>
      <c r="K301" s="703"/>
      <c r="L301" s="703" t="str">
        <f t="shared" si="365"/>
        <v>A</v>
      </c>
      <c r="M301" s="703" t="s">
        <v>530</v>
      </c>
      <c r="N301" s="703" t="s">
        <v>530</v>
      </c>
      <c r="O301" s="703"/>
      <c r="P301" s="703" t="str">
        <f t="shared" si="366"/>
        <v>A</v>
      </c>
      <c r="Q301" s="703" t="str">
        <f t="shared" si="367"/>
        <v>A</v>
      </c>
      <c r="R301" s="703" t="str">
        <f t="shared" si="368"/>
        <v>A</v>
      </c>
      <c r="S301" s="703" t="str">
        <f t="shared" si="369"/>
        <v>A</v>
      </c>
      <c r="T301" s="703" t="str">
        <f t="shared" si="370"/>
        <v>A</v>
      </c>
      <c r="U301" s="703" t="str">
        <f t="shared" si="371"/>
        <v>A</v>
      </c>
      <c r="V301" s="703" t="str">
        <f t="shared" si="372"/>
        <v>A</v>
      </c>
      <c r="W301" s="703" t="str">
        <f t="shared" si="372"/>
        <v>A</v>
      </c>
      <c r="X301" s="703" t="str">
        <f t="shared" si="373"/>
        <v>A</v>
      </c>
      <c r="Y301" s="703" t="str">
        <f t="shared" si="374"/>
        <v>A</v>
      </c>
      <c r="Z301" s="703" t="str">
        <f t="shared" si="375"/>
        <v>A</v>
      </c>
      <c r="AA301" s="703" t="str">
        <f t="shared" si="376"/>
        <v>A</v>
      </c>
      <c r="AB301" s="703" t="str">
        <f t="shared" si="377"/>
        <v>A</v>
      </c>
      <c r="AC301" s="703" t="str">
        <f t="shared" si="378"/>
        <v>A</v>
      </c>
      <c r="AD301" s="804"/>
      <c r="AE301" s="804"/>
      <c r="AF301" s="791"/>
      <c r="AG301" s="798"/>
      <c r="AH301" s="928"/>
      <c r="AI301" s="732"/>
      <c r="AJ301" s="733"/>
    </row>
    <row r="302" spans="1:52" hidden="1" outlineLevel="1" x14ac:dyDescent="0.25">
      <c r="A302" s="159"/>
      <c r="B302" s="1359"/>
      <c r="C302" s="667" t="str">
        <f>'Optimalizačné opatrenia'!$B$8</f>
        <v>Bezpečnosť</v>
      </c>
      <c r="D302" s="718" t="s">
        <v>530</v>
      </c>
      <c r="E302" s="703" t="s">
        <v>530</v>
      </c>
      <c r="F302" s="703" t="s">
        <v>530</v>
      </c>
      <c r="G302" s="703" t="str">
        <f t="shared" si="364"/>
        <v>A</v>
      </c>
      <c r="H302" s="703"/>
      <c r="I302" s="703"/>
      <c r="J302" s="703"/>
      <c r="K302" s="703"/>
      <c r="L302" s="703" t="str">
        <f t="shared" si="365"/>
        <v>A</v>
      </c>
      <c r="M302" s="703" t="s">
        <v>530</v>
      </c>
      <c r="N302" s="703" t="s">
        <v>530</v>
      </c>
      <c r="O302" s="703"/>
      <c r="P302" s="703" t="str">
        <f t="shared" si="366"/>
        <v>A</v>
      </c>
      <c r="Q302" s="703" t="str">
        <f t="shared" si="367"/>
        <v>A</v>
      </c>
      <c r="R302" s="703" t="str">
        <f t="shared" si="368"/>
        <v>A</v>
      </c>
      <c r="S302" s="703" t="str">
        <f t="shared" si="369"/>
        <v>A</v>
      </c>
      <c r="T302" s="703" t="str">
        <f t="shared" si="370"/>
        <v>A</v>
      </c>
      <c r="U302" s="703" t="str">
        <f t="shared" si="371"/>
        <v>A</v>
      </c>
      <c r="V302" s="703" t="str">
        <f t="shared" si="372"/>
        <v>A</v>
      </c>
      <c r="W302" s="703" t="str">
        <f t="shared" si="372"/>
        <v>A</v>
      </c>
      <c r="X302" s="703" t="str">
        <f t="shared" si="373"/>
        <v>A</v>
      </c>
      <c r="Y302" s="703" t="str">
        <f t="shared" si="374"/>
        <v>A</v>
      </c>
      <c r="Z302" s="703" t="str">
        <f t="shared" si="375"/>
        <v>A</v>
      </c>
      <c r="AA302" s="703" t="str">
        <f t="shared" si="376"/>
        <v>A</v>
      </c>
      <c r="AB302" s="703" t="str">
        <f t="shared" si="377"/>
        <v>A</v>
      </c>
      <c r="AC302" s="703" t="str">
        <f t="shared" si="378"/>
        <v>A</v>
      </c>
      <c r="AD302" s="804"/>
      <c r="AE302" s="804"/>
      <c r="AF302" s="791"/>
      <c r="AG302" s="798"/>
      <c r="AH302" s="928"/>
      <c r="AI302" s="732"/>
      <c r="AJ302" s="733"/>
    </row>
    <row r="303" spans="1:52" hidden="1" outlineLevel="1" x14ac:dyDescent="0.25">
      <c r="A303" s="159"/>
      <c r="B303" s="1359"/>
      <c r="C303" s="667" t="str">
        <f>'Optimalizačné opatrenia'!$B$9</f>
        <v>Auditovateľnosť</v>
      </c>
      <c r="D303" s="718" t="s">
        <v>530</v>
      </c>
      <c r="E303" s="703" t="s">
        <v>530</v>
      </c>
      <c r="F303" s="703" t="s">
        <v>530</v>
      </c>
      <c r="G303" s="703" t="str">
        <f t="shared" si="364"/>
        <v>A</v>
      </c>
      <c r="H303" s="703"/>
      <c r="I303" s="703"/>
      <c r="J303" s="703"/>
      <c r="K303" s="703"/>
      <c r="L303" s="703" t="str">
        <f t="shared" si="365"/>
        <v>N</v>
      </c>
      <c r="M303" s="703" t="s">
        <v>530</v>
      </c>
      <c r="N303" s="703" t="s">
        <v>530</v>
      </c>
      <c r="O303" s="703"/>
      <c r="P303" s="703" t="str">
        <f t="shared" si="366"/>
        <v>A</v>
      </c>
      <c r="Q303" s="703" t="str">
        <f t="shared" si="367"/>
        <v>A</v>
      </c>
      <c r="R303" s="703" t="str">
        <f t="shared" si="368"/>
        <v>A</v>
      </c>
      <c r="S303" s="703" t="str">
        <f t="shared" si="369"/>
        <v>A</v>
      </c>
      <c r="T303" s="703" t="str">
        <f t="shared" si="370"/>
        <v>A</v>
      </c>
      <c r="U303" s="703" t="str">
        <f t="shared" si="371"/>
        <v>A</v>
      </c>
      <c r="V303" s="703" t="str">
        <f t="shared" si="372"/>
        <v>A</v>
      </c>
      <c r="W303" s="703" t="str">
        <f t="shared" si="372"/>
        <v>A</v>
      </c>
      <c r="X303" s="703" t="str">
        <f t="shared" si="373"/>
        <v>A</v>
      </c>
      <c r="Y303" s="703" t="str">
        <f t="shared" si="374"/>
        <v>A</v>
      </c>
      <c r="Z303" s="703" t="str">
        <f t="shared" si="375"/>
        <v>A</v>
      </c>
      <c r="AA303" s="703" t="str">
        <f t="shared" si="376"/>
        <v>A</v>
      </c>
      <c r="AB303" s="703" t="str">
        <f t="shared" si="377"/>
        <v>A</v>
      </c>
      <c r="AC303" s="703" t="str">
        <f t="shared" si="378"/>
        <v>A</v>
      </c>
      <c r="AD303" s="804"/>
      <c r="AE303" s="804"/>
      <c r="AF303" s="791"/>
      <c r="AG303" s="798"/>
      <c r="AH303" s="928"/>
      <c r="AI303" s="732"/>
      <c r="AJ303" s="733"/>
    </row>
    <row r="304" spans="1:52" hidden="1" outlineLevel="1" x14ac:dyDescent="0.25">
      <c r="A304" s="159"/>
      <c r="B304" s="1359"/>
      <c r="C304" s="667" t="str">
        <f>'Optimalizačné opatrenia'!$B$10</f>
        <v>Transparentnosť</v>
      </c>
      <c r="D304" s="718" t="s">
        <v>530</v>
      </c>
      <c r="E304" s="703" t="s">
        <v>530</v>
      </c>
      <c r="F304" s="703" t="s">
        <v>530</v>
      </c>
      <c r="G304" s="703" t="str">
        <f t="shared" si="364"/>
        <v>N</v>
      </c>
      <c r="H304" s="703"/>
      <c r="I304" s="703"/>
      <c r="J304" s="703"/>
      <c r="K304" s="703"/>
      <c r="L304" s="703" t="str">
        <f t="shared" si="365"/>
        <v>N</v>
      </c>
      <c r="M304" s="703" t="s">
        <v>530</v>
      </c>
      <c r="N304" s="703" t="s">
        <v>530</v>
      </c>
      <c r="O304" s="703"/>
      <c r="P304" s="703" t="str">
        <f t="shared" si="366"/>
        <v>A</v>
      </c>
      <c r="Q304" s="703" t="str">
        <f t="shared" si="367"/>
        <v>N</v>
      </c>
      <c r="R304" s="703" t="str">
        <f t="shared" si="368"/>
        <v>N</v>
      </c>
      <c r="S304" s="703" t="str">
        <f t="shared" si="369"/>
        <v>N</v>
      </c>
      <c r="T304" s="703" t="str">
        <f t="shared" si="370"/>
        <v>N</v>
      </c>
      <c r="U304" s="703" t="str">
        <f t="shared" si="371"/>
        <v>N</v>
      </c>
      <c r="V304" s="703" t="str">
        <f t="shared" si="372"/>
        <v>A</v>
      </c>
      <c r="W304" s="703" t="str">
        <f t="shared" si="372"/>
        <v>N</v>
      </c>
      <c r="X304" s="703" t="str">
        <f t="shared" si="373"/>
        <v>N</v>
      </c>
      <c r="Y304" s="703" t="str">
        <f t="shared" si="374"/>
        <v>N</v>
      </c>
      <c r="Z304" s="703" t="str">
        <f t="shared" si="375"/>
        <v>N</v>
      </c>
      <c r="AA304" s="703" t="str">
        <f t="shared" si="376"/>
        <v>A</v>
      </c>
      <c r="AB304" s="703" t="str">
        <f t="shared" si="377"/>
        <v>N</v>
      </c>
      <c r="AC304" s="703" t="str">
        <f t="shared" si="378"/>
        <v>N</v>
      </c>
      <c r="AD304" s="804"/>
      <c r="AE304" s="804"/>
      <c r="AF304" s="791"/>
      <c r="AG304" s="798"/>
      <c r="AH304" s="928"/>
      <c r="AI304" s="732"/>
      <c r="AJ304" s="733"/>
    </row>
    <row r="305" spans="1:52" hidden="1" outlineLevel="1" x14ac:dyDescent="0.25">
      <c r="A305" s="159"/>
      <c r="B305" s="1359"/>
      <c r="C305" s="667" t="str">
        <f>'Optimalizačné opatrenia'!$B$11</f>
        <v>Analyzovatelnosť</v>
      </c>
      <c r="D305" s="718" t="s">
        <v>530</v>
      </c>
      <c r="E305" s="703" t="s">
        <v>530</v>
      </c>
      <c r="F305" s="703" t="s">
        <v>530</v>
      </c>
      <c r="G305" s="703" t="str">
        <f t="shared" si="364"/>
        <v>A</v>
      </c>
      <c r="H305" s="703"/>
      <c r="I305" s="703"/>
      <c r="J305" s="703"/>
      <c r="K305" s="703"/>
      <c r="L305" s="703" t="str">
        <f t="shared" si="365"/>
        <v>N</v>
      </c>
      <c r="M305" s="703" t="s">
        <v>530</v>
      </c>
      <c r="N305" s="703" t="s">
        <v>530</v>
      </c>
      <c r="O305" s="703"/>
      <c r="P305" s="703" t="str">
        <f t="shared" si="366"/>
        <v>A</v>
      </c>
      <c r="Q305" s="703" t="str">
        <f t="shared" si="367"/>
        <v>A</v>
      </c>
      <c r="R305" s="703" t="str">
        <f t="shared" si="368"/>
        <v>A</v>
      </c>
      <c r="S305" s="703" t="str">
        <f t="shared" si="369"/>
        <v>A</v>
      </c>
      <c r="T305" s="703" t="str">
        <f t="shared" si="370"/>
        <v>A</v>
      </c>
      <c r="U305" s="703" t="str">
        <f t="shared" si="371"/>
        <v>A</v>
      </c>
      <c r="V305" s="703" t="str">
        <f t="shared" si="372"/>
        <v>A</v>
      </c>
      <c r="W305" s="703" t="str">
        <f t="shared" si="372"/>
        <v>A</v>
      </c>
      <c r="X305" s="703" t="str">
        <f t="shared" si="373"/>
        <v>A</v>
      </c>
      <c r="Y305" s="703" t="str">
        <f t="shared" si="374"/>
        <v>A</v>
      </c>
      <c r="Z305" s="703" t="str">
        <f t="shared" si="375"/>
        <v>A</v>
      </c>
      <c r="AA305" s="703" t="str">
        <f t="shared" si="376"/>
        <v>A</v>
      </c>
      <c r="AB305" s="703" t="str">
        <f t="shared" si="377"/>
        <v>A</v>
      </c>
      <c r="AC305" s="703" t="str">
        <f t="shared" si="378"/>
        <v>A</v>
      </c>
      <c r="AD305" s="804"/>
      <c r="AE305" s="804"/>
      <c r="AF305" s="791"/>
      <c r="AG305" s="798"/>
      <c r="AH305" s="928"/>
      <c r="AI305" s="732"/>
      <c r="AJ305" s="733"/>
    </row>
    <row r="306" spans="1:52" hidden="1" outlineLevel="1" x14ac:dyDescent="0.25">
      <c r="A306" s="159"/>
      <c r="B306" s="1359"/>
      <c r="C306" s="667" t="str">
        <f>'Optimalizačné opatrenia'!$B$12</f>
        <v>Integrácia</v>
      </c>
      <c r="D306" s="718" t="s">
        <v>530</v>
      </c>
      <c r="E306" s="703" t="s">
        <v>530</v>
      </c>
      <c r="F306" s="703" t="s">
        <v>530</v>
      </c>
      <c r="G306" s="703" t="str">
        <f t="shared" si="364"/>
        <v>A</v>
      </c>
      <c r="H306" s="703"/>
      <c r="I306" s="703"/>
      <c r="J306" s="703"/>
      <c r="K306" s="703"/>
      <c r="L306" s="703" t="str">
        <f t="shared" si="365"/>
        <v>A</v>
      </c>
      <c r="M306" s="703" t="s">
        <v>530</v>
      </c>
      <c r="N306" s="703" t="s">
        <v>530</v>
      </c>
      <c r="O306" s="703"/>
      <c r="P306" s="703" t="str">
        <f t="shared" si="366"/>
        <v>A</v>
      </c>
      <c r="Q306" s="703" t="str">
        <f t="shared" si="367"/>
        <v>A</v>
      </c>
      <c r="R306" s="703" t="str">
        <f t="shared" si="368"/>
        <v>A</v>
      </c>
      <c r="S306" s="703" t="str">
        <f t="shared" si="369"/>
        <v>A</v>
      </c>
      <c r="T306" s="703" t="str">
        <f t="shared" si="370"/>
        <v>A</v>
      </c>
      <c r="U306" s="703" t="str">
        <f t="shared" si="371"/>
        <v>A</v>
      </c>
      <c r="V306" s="703" t="str">
        <f t="shared" si="372"/>
        <v>A</v>
      </c>
      <c r="W306" s="703" t="str">
        <f t="shared" si="372"/>
        <v>A</v>
      </c>
      <c r="X306" s="703" t="str">
        <f t="shared" si="373"/>
        <v>A</v>
      </c>
      <c r="Y306" s="703" t="str">
        <f t="shared" si="374"/>
        <v>A</v>
      </c>
      <c r="Z306" s="703" t="str">
        <f t="shared" si="375"/>
        <v>A</v>
      </c>
      <c r="AA306" s="703" t="str">
        <f t="shared" si="376"/>
        <v>A</v>
      </c>
      <c r="AB306" s="703" t="str">
        <f t="shared" si="377"/>
        <v>A</v>
      </c>
      <c r="AC306" s="703" t="str">
        <f t="shared" si="378"/>
        <v>A</v>
      </c>
      <c r="AD306" s="804"/>
      <c r="AE306" s="804"/>
      <c r="AF306" s="791"/>
      <c r="AG306" s="798"/>
      <c r="AH306" s="928"/>
      <c r="AI306" s="732"/>
      <c r="AJ306" s="733"/>
    </row>
    <row r="307" spans="1:52" hidden="1" outlineLevel="1" x14ac:dyDescent="0.25">
      <c r="A307" s="159"/>
      <c r="B307" s="1359"/>
      <c r="C307" s="672" t="str">
        <f>'Optimalizačné opatrenia'!$B$13</f>
        <v>Proaktivita</v>
      </c>
      <c r="D307" s="718" t="s">
        <v>530</v>
      </c>
      <c r="E307" s="703" t="s">
        <v>530</v>
      </c>
      <c r="F307" s="703" t="s">
        <v>530</v>
      </c>
      <c r="G307" s="703" t="str">
        <f t="shared" si="364"/>
        <v>N</v>
      </c>
      <c r="H307" s="703"/>
      <c r="I307" s="703"/>
      <c r="J307" s="703"/>
      <c r="K307" s="703"/>
      <c r="L307" s="703" t="str">
        <f t="shared" si="365"/>
        <v>A</v>
      </c>
      <c r="M307" s="703" t="s">
        <v>530</v>
      </c>
      <c r="N307" s="703" t="s">
        <v>530</v>
      </c>
      <c r="O307" s="703"/>
      <c r="P307" s="703" t="str">
        <f t="shared" si="366"/>
        <v>N</v>
      </c>
      <c r="Q307" s="703" t="str">
        <f t="shared" si="367"/>
        <v>N</v>
      </c>
      <c r="R307" s="703" t="str">
        <f t="shared" si="368"/>
        <v>A</v>
      </c>
      <c r="S307" s="703" t="str">
        <f t="shared" si="369"/>
        <v>A</v>
      </c>
      <c r="T307" s="703" t="str">
        <f t="shared" si="370"/>
        <v>A</v>
      </c>
      <c r="U307" s="703" t="str">
        <f t="shared" si="371"/>
        <v>N</v>
      </c>
      <c r="V307" s="703" t="str">
        <f t="shared" si="372"/>
        <v>A</v>
      </c>
      <c r="W307" s="703" t="str">
        <f t="shared" si="372"/>
        <v>N</v>
      </c>
      <c r="X307" s="703" t="str">
        <f t="shared" si="373"/>
        <v>N</v>
      </c>
      <c r="Y307" s="703" t="str">
        <f t="shared" si="374"/>
        <v>A</v>
      </c>
      <c r="Z307" s="703" t="str">
        <f t="shared" si="375"/>
        <v>A</v>
      </c>
      <c r="AA307" s="703" t="str">
        <f t="shared" si="376"/>
        <v>A</v>
      </c>
      <c r="AB307" s="703" t="str">
        <f t="shared" si="377"/>
        <v>N</v>
      </c>
      <c r="AC307" s="703" t="str">
        <f t="shared" si="378"/>
        <v>A</v>
      </c>
      <c r="AD307" s="804"/>
      <c r="AE307" s="804"/>
      <c r="AF307" s="791"/>
      <c r="AG307" s="798"/>
      <c r="AH307" s="928"/>
      <c r="AI307" s="732"/>
      <c r="AJ307" s="733"/>
    </row>
    <row r="308" spans="1:52" hidden="1" outlineLevel="1" x14ac:dyDescent="0.25">
      <c r="A308" s="159"/>
      <c r="B308" s="720"/>
      <c r="C308" s="722" t="s">
        <v>538</v>
      </c>
      <c r="D308" s="723">
        <v>0</v>
      </c>
      <c r="E308" s="721">
        <v>0</v>
      </c>
      <c r="F308" s="724">
        <v>0</v>
      </c>
      <c r="G308" s="724">
        <f t="shared" si="364"/>
        <v>0.3</v>
      </c>
      <c r="H308" s="724"/>
      <c r="I308" s="724"/>
      <c r="J308" s="724"/>
      <c r="K308" s="724"/>
      <c r="L308" s="724">
        <f t="shared" si="365"/>
        <v>0.25</v>
      </c>
      <c r="M308" s="724">
        <v>0</v>
      </c>
      <c r="N308" s="724">
        <v>0</v>
      </c>
      <c r="O308" s="724"/>
      <c r="P308" s="724">
        <f t="shared" si="366"/>
        <v>0.45</v>
      </c>
      <c r="Q308" s="724">
        <f t="shared" si="367"/>
        <v>0.3</v>
      </c>
      <c r="R308" s="724">
        <f t="shared" si="368"/>
        <v>0.4</v>
      </c>
      <c r="S308" s="724">
        <f t="shared" si="369"/>
        <v>0.4</v>
      </c>
      <c r="T308" s="724">
        <f t="shared" si="370"/>
        <v>0.4</v>
      </c>
      <c r="U308" s="724">
        <f t="shared" si="371"/>
        <v>0.3</v>
      </c>
      <c r="V308" s="724">
        <f t="shared" si="372"/>
        <v>0.5</v>
      </c>
      <c r="W308" s="724">
        <f t="shared" si="372"/>
        <v>0.3</v>
      </c>
      <c r="X308" s="724">
        <f t="shared" si="373"/>
        <v>0.3</v>
      </c>
      <c r="Y308" s="724">
        <f t="shared" si="374"/>
        <v>0.4</v>
      </c>
      <c r="Z308" s="724">
        <f t="shared" si="375"/>
        <v>0.4</v>
      </c>
      <c r="AA308" s="724">
        <f t="shared" si="376"/>
        <v>0.5</v>
      </c>
      <c r="AB308" s="724">
        <f t="shared" si="377"/>
        <v>0.3</v>
      </c>
      <c r="AC308" s="724">
        <f t="shared" si="378"/>
        <v>0.4</v>
      </c>
      <c r="AD308" s="805"/>
      <c r="AE308" s="805"/>
      <c r="AF308" s="792"/>
      <c r="AG308" s="799"/>
      <c r="AH308" s="929"/>
      <c r="AI308" s="735"/>
      <c r="AJ308" s="736"/>
    </row>
    <row r="309" spans="1:52" ht="43.7" customHeight="1" collapsed="1" x14ac:dyDescent="0.25">
      <c r="A309" s="159">
        <f ca="1">OFFSET(A309,-14,0)+1</f>
        <v>22</v>
      </c>
      <c r="B309" s="668" t="str">
        <f ca="1">'Procesy - AS IS'!B76</f>
        <v>Meranie č. 22</v>
      </c>
      <c r="C309" s="671" t="str">
        <f>'Procesy - AS IS'!C76</f>
        <v>Komposesorát Vojka s.r.o., Preverenie legálnosti realizácie oplotenia v chránenom území, 3006/2018</v>
      </c>
      <c r="D309" s="726">
        <f>-'Procesy - AS IS'!D78*D322</f>
        <v>0</v>
      </c>
      <c r="E309" s="653">
        <f>-'Procesy - AS IS'!E78*E322</f>
        <v>0</v>
      </c>
      <c r="F309" s="653">
        <f>-'Procesy - AS IS'!F78*F322</f>
        <v>0</v>
      </c>
      <c r="G309" s="653">
        <f>-'Procesy - AS IS'!G78*G322</f>
        <v>-0.89999999999999991</v>
      </c>
      <c r="H309" s="653" t="s">
        <v>555</v>
      </c>
      <c r="I309" s="653" t="s">
        <v>555</v>
      </c>
      <c r="J309" s="653" t="s">
        <v>555</v>
      </c>
      <c r="K309" s="653" t="s">
        <v>555</v>
      </c>
      <c r="L309" s="653">
        <f>-'Procesy - AS IS'!L78*L322</f>
        <v>-6.25E-2</v>
      </c>
      <c r="M309" s="653">
        <f>-'Procesy - AS IS'!M78*M322</f>
        <v>0</v>
      </c>
      <c r="N309" s="653">
        <f>-'Procesy - AS IS'!N78*N322</f>
        <v>0</v>
      </c>
      <c r="O309" s="653" t="s">
        <v>559</v>
      </c>
      <c r="P309" s="653">
        <f>-'Procesy - AS IS'!P78*P322</f>
        <v>-0.9</v>
      </c>
      <c r="Q309" s="653">
        <f>-'Procesy - AS IS'!Q78*Q322</f>
        <v>0</v>
      </c>
      <c r="R309" s="653">
        <f>-'Procesy - AS IS'!R78*R322</f>
        <v>-5.2532687651331731</v>
      </c>
      <c r="S309" s="653">
        <f>-'Procesy - AS IS'!S78*S322</f>
        <v>-1.448910411622276</v>
      </c>
      <c r="T309" s="653">
        <f>-'Procesy - AS IS'!T78*T322</f>
        <v>-2.6266343825665865</v>
      </c>
      <c r="U309" s="653">
        <f>-'Procesy - AS IS'!U78*U322</f>
        <v>0</v>
      </c>
      <c r="V309" s="653">
        <f>-'Procesy - AS IS'!V78*V322</f>
        <v>-0.5</v>
      </c>
      <c r="W309" s="653">
        <f>-'Procesy - AS IS'!W78*W322</f>
        <v>-9.2251815980629537E-2</v>
      </c>
      <c r="X309" s="653">
        <f>-'Procesy - AS IS'!X78*X322</f>
        <v>0</v>
      </c>
      <c r="Y309" s="653">
        <f>-'Procesy - AS IS'!Y78*Y322</f>
        <v>-2.9520581113801452</v>
      </c>
      <c r="Z309" s="653">
        <f>-'Procesy - AS IS'!Z78*Z322</f>
        <v>-7.2639225181598058E-3</v>
      </c>
      <c r="AA309" s="653">
        <f>-'Procesy - AS IS'!AA78*AA322</f>
        <v>-1.8159806295399514E-2</v>
      </c>
      <c r="AB309" s="653">
        <f>-'Procesy - AS IS'!AB78*AB322</f>
        <v>0</v>
      </c>
      <c r="AC309" s="653">
        <f>-'Procesy - AS IS'!AC78*AC322</f>
        <v>0</v>
      </c>
      <c r="AD309" s="754"/>
      <c r="AE309" s="754">
        <f>SUM(D309:AC309)</f>
        <v>-14.761047215496371</v>
      </c>
      <c r="AF309" s="728">
        <f>AE309/'Procesy - AS IS'!AD78</f>
        <v>-0.39558830686371532</v>
      </c>
      <c r="AG309" s="797">
        <f>('Procesy - AS IS'!AG75/(1+$AF309)-'Procesy - AS IS'!AG75)/2</f>
        <v>135.15454167253802</v>
      </c>
      <c r="AH309" s="927">
        <f>('Procesy - AS IS'!AH75/(1+$AF309)-'Procesy - AS IS'!AH75)/2</f>
        <v>73.958659607732642</v>
      </c>
      <c r="AI309" s="730">
        <f>('Procesy - AS IS'!AI75/(1+$AF309)-'Procesy - AS IS'!AI75)/2</f>
        <v>41.56083969107101</v>
      </c>
      <c r="AJ309" s="731">
        <f>('Procesy - AS IS'!AJ75/(1+$AF309)-'Procesy - AS IS'!AJ75)/2</f>
        <v>4.9087605934335841</v>
      </c>
      <c r="AL309" s="232"/>
      <c r="AZ309" s="227"/>
    </row>
    <row r="310" spans="1:52" hidden="1" outlineLevel="1" x14ac:dyDescent="0.25">
      <c r="A310" s="159"/>
      <c r="B310" s="1358" t="s">
        <v>528</v>
      </c>
      <c r="C310" s="667" t="str">
        <f>'Optimalizačné opatrenia'!$B$2</f>
        <v>Modernizácia</v>
      </c>
      <c r="D310" s="718" t="str">
        <f t="shared" ref="D310:G322" si="379">D296</f>
        <v>N</v>
      </c>
      <c r="E310" s="703" t="str">
        <f t="shared" si="379"/>
        <v>N</v>
      </c>
      <c r="F310" s="703" t="str">
        <f t="shared" si="379"/>
        <v>N</v>
      </c>
      <c r="G310" s="703" t="str">
        <f t="shared" si="379"/>
        <v>A</v>
      </c>
      <c r="H310" s="703"/>
      <c r="I310" s="703"/>
      <c r="J310" s="703"/>
      <c r="K310" s="703"/>
      <c r="L310" s="703" t="str">
        <f t="shared" ref="L310:N310" si="380">L296</f>
        <v>A</v>
      </c>
      <c r="M310" s="703" t="str">
        <f t="shared" si="380"/>
        <v>N</v>
      </c>
      <c r="N310" s="703" t="str">
        <f t="shared" si="380"/>
        <v>N</v>
      </c>
      <c r="O310" s="703"/>
      <c r="P310" s="703" t="str">
        <f t="shared" ref="P310:AC310" si="381">P296</f>
        <v>A</v>
      </c>
      <c r="Q310" s="703" t="str">
        <f t="shared" si="381"/>
        <v>A</v>
      </c>
      <c r="R310" s="703" t="str">
        <f t="shared" si="381"/>
        <v>A</v>
      </c>
      <c r="S310" s="703" t="str">
        <f t="shared" si="381"/>
        <v>A</v>
      </c>
      <c r="T310" s="703" t="str">
        <f t="shared" si="381"/>
        <v>A</v>
      </c>
      <c r="U310" s="703" t="str">
        <f t="shared" si="381"/>
        <v>A</v>
      </c>
      <c r="V310" s="703" t="str">
        <f t="shared" si="381"/>
        <v>A</v>
      </c>
      <c r="W310" s="703" t="str">
        <f t="shared" si="381"/>
        <v>A</v>
      </c>
      <c r="X310" s="703" t="str">
        <f t="shared" si="381"/>
        <v>A</v>
      </c>
      <c r="Y310" s="703" t="str">
        <f t="shared" si="381"/>
        <v>A</v>
      </c>
      <c r="Z310" s="703" t="str">
        <f t="shared" si="381"/>
        <v>A</v>
      </c>
      <c r="AA310" s="703" t="str">
        <f t="shared" si="381"/>
        <v>A</v>
      </c>
      <c r="AB310" s="703" t="str">
        <f t="shared" si="381"/>
        <v>A</v>
      </c>
      <c r="AC310" s="703" t="str">
        <f t="shared" si="381"/>
        <v>A</v>
      </c>
      <c r="AD310" s="804"/>
      <c r="AE310" s="804"/>
      <c r="AF310" s="791"/>
      <c r="AG310" s="798"/>
      <c r="AH310" s="928"/>
      <c r="AI310" s="732"/>
      <c r="AJ310" s="733"/>
    </row>
    <row r="311" spans="1:52" hidden="1" outlineLevel="1" x14ac:dyDescent="0.25">
      <c r="A311" s="159"/>
      <c r="B311" s="1359"/>
      <c r="C311" s="667" t="str">
        <f>'Optimalizačné opatrenia'!$B$3</f>
        <v>Sfunkčnenie</v>
      </c>
      <c r="D311" s="718" t="str">
        <f t="shared" si="379"/>
        <v>N</v>
      </c>
      <c r="E311" s="703" t="str">
        <f t="shared" si="379"/>
        <v>N</v>
      </c>
      <c r="F311" s="703" t="str">
        <f t="shared" si="379"/>
        <v>N</v>
      </c>
      <c r="G311" s="703" t="str">
        <f t="shared" si="379"/>
        <v>N</v>
      </c>
      <c r="H311" s="703"/>
      <c r="I311" s="703"/>
      <c r="J311" s="703"/>
      <c r="K311" s="703"/>
      <c r="L311" s="703" t="str">
        <f t="shared" ref="L311:N311" si="382">L297</f>
        <v>N</v>
      </c>
      <c r="M311" s="703" t="str">
        <f t="shared" si="382"/>
        <v>N</v>
      </c>
      <c r="N311" s="703" t="str">
        <f t="shared" si="382"/>
        <v>N</v>
      </c>
      <c r="O311" s="703"/>
      <c r="P311" s="703" t="str">
        <f t="shared" ref="P311:AC311" si="383">P297</f>
        <v>N</v>
      </c>
      <c r="Q311" s="703" t="str">
        <f t="shared" si="383"/>
        <v>N</v>
      </c>
      <c r="R311" s="703" t="str">
        <f t="shared" si="383"/>
        <v>N</v>
      </c>
      <c r="S311" s="703" t="str">
        <f t="shared" si="383"/>
        <v>N</v>
      </c>
      <c r="T311" s="703" t="str">
        <f t="shared" si="383"/>
        <v>N</v>
      </c>
      <c r="U311" s="703" t="str">
        <f t="shared" si="383"/>
        <v>N</v>
      </c>
      <c r="V311" s="703" t="str">
        <f t="shared" si="383"/>
        <v>N</v>
      </c>
      <c r="W311" s="703" t="str">
        <f t="shared" si="383"/>
        <v>N</v>
      </c>
      <c r="X311" s="703" t="str">
        <f t="shared" si="383"/>
        <v>N</v>
      </c>
      <c r="Y311" s="703" t="str">
        <f t="shared" si="383"/>
        <v>N</v>
      </c>
      <c r="Z311" s="703" t="str">
        <f t="shared" si="383"/>
        <v>N</v>
      </c>
      <c r="AA311" s="703" t="str">
        <f t="shared" si="383"/>
        <v>N</v>
      </c>
      <c r="AB311" s="703" t="str">
        <f t="shared" si="383"/>
        <v>N</v>
      </c>
      <c r="AC311" s="703" t="str">
        <f t="shared" si="383"/>
        <v>N</v>
      </c>
      <c r="AD311" s="804"/>
      <c r="AE311" s="804"/>
      <c r="AF311" s="791"/>
      <c r="AG311" s="798"/>
      <c r="AH311" s="928"/>
      <c r="AI311" s="732"/>
      <c r="AJ311" s="733"/>
    </row>
    <row r="312" spans="1:52" hidden="1" outlineLevel="1" x14ac:dyDescent="0.25">
      <c r="A312" s="159"/>
      <c r="B312" s="1359"/>
      <c r="C312" s="667" t="str">
        <f>'Optimalizačné opatrenia'!$B$4</f>
        <v>Zjednotenie</v>
      </c>
      <c r="D312" s="718" t="str">
        <f t="shared" si="379"/>
        <v>N</v>
      </c>
      <c r="E312" s="703" t="str">
        <f t="shared" si="379"/>
        <v>N</v>
      </c>
      <c r="F312" s="703" t="str">
        <f t="shared" si="379"/>
        <v>N</v>
      </c>
      <c r="G312" s="703" t="str">
        <f t="shared" si="379"/>
        <v>A</v>
      </c>
      <c r="H312" s="703"/>
      <c r="I312" s="703"/>
      <c r="J312" s="703"/>
      <c r="K312" s="703"/>
      <c r="L312" s="703" t="str">
        <f t="shared" ref="L312:N312" si="384">L298</f>
        <v>A</v>
      </c>
      <c r="M312" s="703" t="str">
        <f t="shared" si="384"/>
        <v>N</v>
      </c>
      <c r="N312" s="703" t="str">
        <f t="shared" si="384"/>
        <v>N</v>
      </c>
      <c r="O312" s="703"/>
      <c r="P312" s="703" t="str">
        <f t="shared" ref="P312:AC312" si="385">P298</f>
        <v>A</v>
      </c>
      <c r="Q312" s="703" t="str">
        <f t="shared" si="385"/>
        <v>A</v>
      </c>
      <c r="R312" s="703" t="str">
        <f t="shared" si="385"/>
        <v>A</v>
      </c>
      <c r="S312" s="703" t="str">
        <f t="shared" si="385"/>
        <v>A</v>
      </c>
      <c r="T312" s="703" t="str">
        <f t="shared" si="385"/>
        <v>A</v>
      </c>
      <c r="U312" s="703" t="str">
        <f t="shared" si="385"/>
        <v>A</v>
      </c>
      <c r="V312" s="703" t="str">
        <f t="shared" si="385"/>
        <v>A</v>
      </c>
      <c r="W312" s="703" t="str">
        <f t="shared" si="385"/>
        <v>A</v>
      </c>
      <c r="X312" s="703" t="str">
        <f t="shared" si="385"/>
        <v>A</v>
      </c>
      <c r="Y312" s="703" t="str">
        <f t="shared" si="385"/>
        <v>A</v>
      </c>
      <c r="Z312" s="703" t="str">
        <f t="shared" si="385"/>
        <v>A</v>
      </c>
      <c r="AA312" s="703" t="str">
        <f t="shared" si="385"/>
        <v>A</v>
      </c>
      <c r="AB312" s="703" t="str">
        <f t="shared" si="385"/>
        <v>A</v>
      </c>
      <c r="AC312" s="703" t="str">
        <f t="shared" si="385"/>
        <v>A</v>
      </c>
      <c r="AD312" s="804"/>
      <c r="AE312" s="804"/>
      <c r="AF312" s="791"/>
      <c r="AG312" s="798"/>
      <c r="AH312" s="928"/>
      <c r="AI312" s="732"/>
      <c r="AJ312" s="733"/>
    </row>
    <row r="313" spans="1:52" hidden="1" outlineLevel="1" x14ac:dyDescent="0.25">
      <c r="A313" s="159"/>
      <c r="B313" s="1359"/>
      <c r="C313" s="667" t="str">
        <f>'Optimalizačné opatrenia'!$B$5</f>
        <v>Centralizácia</v>
      </c>
      <c r="D313" s="718" t="str">
        <f t="shared" si="379"/>
        <v>N</v>
      </c>
      <c r="E313" s="703" t="str">
        <f t="shared" si="379"/>
        <v>N</v>
      </c>
      <c r="F313" s="703" t="str">
        <f t="shared" si="379"/>
        <v>N</v>
      </c>
      <c r="G313" s="703" t="str">
        <f t="shared" si="379"/>
        <v>A</v>
      </c>
      <c r="H313" s="703"/>
      <c r="I313" s="703"/>
      <c r="J313" s="703"/>
      <c r="K313" s="703"/>
      <c r="L313" s="703" t="str">
        <f t="shared" ref="L313:N313" si="386">L299</f>
        <v>A</v>
      </c>
      <c r="M313" s="703" t="str">
        <f t="shared" si="386"/>
        <v>N</v>
      </c>
      <c r="N313" s="703" t="str">
        <f t="shared" si="386"/>
        <v>N</v>
      </c>
      <c r="O313" s="703"/>
      <c r="P313" s="703" t="str">
        <f t="shared" ref="P313:AC313" si="387">P299</f>
        <v>A</v>
      </c>
      <c r="Q313" s="703" t="str">
        <f t="shared" si="387"/>
        <v>A</v>
      </c>
      <c r="R313" s="703" t="str">
        <f t="shared" si="387"/>
        <v>A</v>
      </c>
      <c r="S313" s="703" t="str">
        <f t="shared" si="387"/>
        <v>A</v>
      </c>
      <c r="T313" s="703" t="str">
        <f t="shared" si="387"/>
        <v>A</v>
      </c>
      <c r="U313" s="703" t="str">
        <f t="shared" si="387"/>
        <v>A</v>
      </c>
      <c r="V313" s="703" t="str">
        <f t="shared" si="387"/>
        <v>A</v>
      </c>
      <c r="W313" s="703" t="str">
        <f t="shared" si="387"/>
        <v>A</v>
      </c>
      <c r="X313" s="703" t="str">
        <f t="shared" si="387"/>
        <v>A</v>
      </c>
      <c r="Y313" s="703" t="str">
        <f t="shared" si="387"/>
        <v>A</v>
      </c>
      <c r="Z313" s="703" t="str">
        <f t="shared" si="387"/>
        <v>A</v>
      </c>
      <c r="AA313" s="703" t="str">
        <f t="shared" si="387"/>
        <v>A</v>
      </c>
      <c r="AB313" s="703" t="str">
        <f t="shared" si="387"/>
        <v>A</v>
      </c>
      <c r="AC313" s="703" t="str">
        <f t="shared" si="387"/>
        <v>A</v>
      </c>
      <c r="AD313" s="804"/>
      <c r="AE313" s="804"/>
      <c r="AF313" s="791"/>
      <c r="AG313" s="798"/>
      <c r="AH313" s="928"/>
      <c r="AI313" s="732"/>
      <c r="AJ313" s="733"/>
    </row>
    <row r="314" spans="1:52" hidden="1" outlineLevel="1" x14ac:dyDescent="0.25">
      <c r="A314" s="159"/>
      <c r="B314" s="1359"/>
      <c r="C314" s="667" t="str">
        <f>'Optimalizačné opatrenia'!$B$6</f>
        <v>Elektronizácia</v>
      </c>
      <c r="D314" s="718" t="str">
        <f t="shared" si="379"/>
        <v>N</v>
      </c>
      <c r="E314" s="703" t="str">
        <f t="shared" si="379"/>
        <v>N</v>
      </c>
      <c r="F314" s="703" t="str">
        <f t="shared" si="379"/>
        <v>N</v>
      </c>
      <c r="G314" s="703" t="str">
        <f t="shared" si="379"/>
        <v>A</v>
      </c>
      <c r="H314" s="703"/>
      <c r="I314" s="703"/>
      <c r="J314" s="703"/>
      <c r="K314" s="703"/>
      <c r="L314" s="703" t="str">
        <f t="shared" ref="L314:N314" si="388">L300</f>
        <v>A</v>
      </c>
      <c r="M314" s="703" t="str">
        <f t="shared" si="388"/>
        <v>N</v>
      </c>
      <c r="N314" s="703" t="str">
        <f t="shared" si="388"/>
        <v>N</v>
      </c>
      <c r="O314" s="703"/>
      <c r="P314" s="703" t="str">
        <f t="shared" ref="P314:AC314" si="389">P300</f>
        <v>A</v>
      </c>
      <c r="Q314" s="703" t="str">
        <f t="shared" si="389"/>
        <v>A</v>
      </c>
      <c r="R314" s="703" t="str">
        <f t="shared" si="389"/>
        <v>A</v>
      </c>
      <c r="S314" s="703" t="str">
        <f t="shared" si="389"/>
        <v>A</v>
      </c>
      <c r="T314" s="703" t="str">
        <f t="shared" si="389"/>
        <v>A</v>
      </c>
      <c r="U314" s="703" t="str">
        <f t="shared" si="389"/>
        <v>A</v>
      </c>
      <c r="V314" s="703" t="str">
        <f t="shared" si="389"/>
        <v>A</v>
      </c>
      <c r="W314" s="703" t="str">
        <f t="shared" si="389"/>
        <v>A</v>
      </c>
      <c r="X314" s="703" t="str">
        <f t="shared" si="389"/>
        <v>A</v>
      </c>
      <c r="Y314" s="703" t="str">
        <f t="shared" si="389"/>
        <v>A</v>
      </c>
      <c r="Z314" s="703" t="str">
        <f t="shared" si="389"/>
        <v>A</v>
      </c>
      <c r="AA314" s="703" t="str">
        <f t="shared" si="389"/>
        <v>A</v>
      </c>
      <c r="AB314" s="703" t="str">
        <f t="shared" si="389"/>
        <v>A</v>
      </c>
      <c r="AC314" s="703" t="str">
        <f t="shared" si="389"/>
        <v>A</v>
      </c>
      <c r="AD314" s="804"/>
      <c r="AE314" s="804"/>
      <c r="AF314" s="791"/>
      <c r="AG314" s="798"/>
      <c r="AH314" s="928"/>
      <c r="AI314" s="732"/>
      <c r="AJ314" s="733"/>
    </row>
    <row r="315" spans="1:52" hidden="1" outlineLevel="1" x14ac:dyDescent="0.25">
      <c r="A315" s="159"/>
      <c r="B315" s="1359"/>
      <c r="C315" s="667" t="str">
        <f>'Optimalizačné opatrenia'!$B$7</f>
        <v>Automatizácia</v>
      </c>
      <c r="D315" s="718" t="str">
        <f t="shared" si="379"/>
        <v>N</v>
      </c>
      <c r="E315" s="703" t="str">
        <f t="shared" si="379"/>
        <v>N</v>
      </c>
      <c r="F315" s="703" t="str">
        <f t="shared" si="379"/>
        <v>N</v>
      </c>
      <c r="G315" s="703" t="str">
        <f t="shared" si="379"/>
        <v>A</v>
      </c>
      <c r="H315" s="703"/>
      <c r="I315" s="703"/>
      <c r="J315" s="703"/>
      <c r="K315" s="703"/>
      <c r="L315" s="703" t="str">
        <f t="shared" ref="L315:N315" si="390">L301</f>
        <v>A</v>
      </c>
      <c r="M315" s="703" t="str">
        <f t="shared" si="390"/>
        <v>N</v>
      </c>
      <c r="N315" s="703" t="str">
        <f t="shared" si="390"/>
        <v>N</v>
      </c>
      <c r="O315" s="703"/>
      <c r="P315" s="703" t="str">
        <f t="shared" ref="P315:AC315" si="391">P301</f>
        <v>A</v>
      </c>
      <c r="Q315" s="703" t="str">
        <f t="shared" si="391"/>
        <v>A</v>
      </c>
      <c r="R315" s="703" t="str">
        <f t="shared" si="391"/>
        <v>A</v>
      </c>
      <c r="S315" s="703" t="str">
        <f t="shared" si="391"/>
        <v>A</v>
      </c>
      <c r="T315" s="703" t="str">
        <f t="shared" si="391"/>
        <v>A</v>
      </c>
      <c r="U315" s="703" t="str">
        <f t="shared" si="391"/>
        <v>A</v>
      </c>
      <c r="V315" s="703" t="str">
        <f t="shared" si="391"/>
        <v>A</v>
      </c>
      <c r="W315" s="703" t="str">
        <f t="shared" si="391"/>
        <v>A</v>
      </c>
      <c r="X315" s="703" t="str">
        <f t="shared" si="391"/>
        <v>A</v>
      </c>
      <c r="Y315" s="703" t="str">
        <f t="shared" si="391"/>
        <v>A</v>
      </c>
      <c r="Z315" s="703" t="str">
        <f t="shared" si="391"/>
        <v>A</v>
      </c>
      <c r="AA315" s="703" t="str">
        <f t="shared" si="391"/>
        <v>A</v>
      </c>
      <c r="AB315" s="703" t="str">
        <f t="shared" si="391"/>
        <v>A</v>
      </c>
      <c r="AC315" s="703" t="str">
        <f t="shared" si="391"/>
        <v>A</v>
      </c>
      <c r="AD315" s="804"/>
      <c r="AE315" s="804"/>
      <c r="AF315" s="791"/>
      <c r="AG315" s="798"/>
      <c r="AH315" s="928"/>
      <c r="AI315" s="732"/>
      <c r="AJ315" s="733"/>
    </row>
    <row r="316" spans="1:52" hidden="1" outlineLevel="1" x14ac:dyDescent="0.25">
      <c r="A316" s="159"/>
      <c r="B316" s="1359"/>
      <c r="C316" s="667" t="str">
        <f>'Optimalizačné opatrenia'!$B$8</f>
        <v>Bezpečnosť</v>
      </c>
      <c r="D316" s="718" t="str">
        <f t="shared" si="379"/>
        <v>N</v>
      </c>
      <c r="E316" s="703" t="str">
        <f t="shared" si="379"/>
        <v>N</v>
      </c>
      <c r="F316" s="703" t="str">
        <f t="shared" si="379"/>
        <v>N</v>
      </c>
      <c r="G316" s="703" t="str">
        <f t="shared" si="379"/>
        <v>A</v>
      </c>
      <c r="H316" s="703"/>
      <c r="I316" s="703"/>
      <c r="J316" s="703"/>
      <c r="K316" s="703"/>
      <c r="L316" s="703" t="str">
        <f t="shared" ref="L316:N316" si="392">L302</f>
        <v>A</v>
      </c>
      <c r="M316" s="703" t="str">
        <f t="shared" si="392"/>
        <v>N</v>
      </c>
      <c r="N316" s="703" t="str">
        <f t="shared" si="392"/>
        <v>N</v>
      </c>
      <c r="O316" s="703"/>
      <c r="P316" s="703" t="str">
        <f t="shared" ref="P316:AC316" si="393">P302</f>
        <v>A</v>
      </c>
      <c r="Q316" s="703" t="str">
        <f t="shared" si="393"/>
        <v>A</v>
      </c>
      <c r="R316" s="703" t="str">
        <f t="shared" si="393"/>
        <v>A</v>
      </c>
      <c r="S316" s="703" t="str">
        <f t="shared" si="393"/>
        <v>A</v>
      </c>
      <c r="T316" s="703" t="str">
        <f t="shared" si="393"/>
        <v>A</v>
      </c>
      <c r="U316" s="703" t="str">
        <f t="shared" si="393"/>
        <v>A</v>
      </c>
      <c r="V316" s="703" t="str">
        <f t="shared" si="393"/>
        <v>A</v>
      </c>
      <c r="W316" s="703" t="str">
        <f t="shared" si="393"/>
        <v>A</v>
      </c>
      <c r="X316" s="703" t="str">
        <f t="shared" si="393"/>
        <v>A</v>
      </c>
      <c r="Y316" s="703" t="str">
        <f t="shared" si="393"/>
        <v>A</v>
      </c>
      <c r="Z316" s="703" t="str">
        <f t="shared" si="393"/>
        <v>A</v>
      </c>
      <c r="AA316" s="703" t="str">
        <f t="shared" si="393"/>
        <v>A</v>
      </c>
      <c r="AB316" s="703" t="str">
        <f t="shared" si="393"/>
        <v>A</v>
      </c>
      <c r="AC316" s="703" t="str">
        <f t="shared" si="393"/>
        <v>A</v>
      </c>
      <c r="AD316" s="804"/>
      <c r="AE316" s="804"/>
      <c r="AF316" s="791"/>
      <c r="AG316" s="798"/>
      <c r="AH316" s="928"/>
      <c r="AI316" s="732"/>
      <c r="AJ316" s="733"/>
    </row>
    <row r="317" spans="1:52" hidden="1" outlineLevel="1" x14ac:dyDescent="0.25">
      <c r="A317" s="159"/>
      <c r="B317" s="1359"/>
      <c r="C317" s="667" t="str">
        <f>'Optimalizačné opatrenia'!$B$9</f>
        <v>Auditovateľnosť</v>
      </c>
      <c r="D317" s="718" t="str">
        <f t="shared" si="379"/>
        <v>N</v>
      </c>
      <c r="E317" s="703" t="str">
        <f t="shared" si="379"/>
        <v>N</v>
      </c>
      <c r="F317" s="703" t="str">
        <f t="shared" si="379"/>
        <v>N</v>
      </c>
      <c r="G317" s="703" t="str">
        <f t="shared" si="379"/>
        <v>A</v>
      </c>
      <c r="H317" s="703"/>
      <c r="I317" s="703"/>
      <c r="J317" s="703"/>
      <c r="K317" s="703"/>
      <c r="L317" s="703" t="str">
        <f t="shared" ref="L317:N317" si="394">L303</f>
        <v>N</v>
      </c>
      <c r="M317" s="703" t="str">
        <f t="shared" si="394"/>
        <v>N</v>
      </c>
      <c r="N317" s="703" t="str">
        <f t="shared" si="394"/>
        <v>N</v>
      </c>
      <c r="O317" s="703"/>
      <c r="P317" s="703" t="str">
        <f t="shared" ref="P317:AC317" si="395">P303</f>
        <v>A</v>
      </c>
      <c r="Q317" s="703" t="str">
        <f t="shared" si="395"/>
        <v>A</v>
      </c>
      <c r="R317" s="703" t="str">
        <f t="shared" si="395"/>
        <v>A</v>
      </c>
      <c r="S317" s="703" t="str">
        <f t="shared" si="395"/>
        <v>A</v>
      </c>
      <c r="T317" s="703" t="str">
        <f t="shared" si="395"/>
        <v>A</v>
      </c>
      <c r="U317" s="703" t="str">
        <f t="shared" si="395"/>
        <v>A</v>
      </c>
      <c r="V317" s="703" t="str">
        <f t="shared" si="395"/>
        <v>A</v>
      </c>
      <c r="W317" s="703" t="str">
        <f t="shared" si="395"/>
        <v>A</v>
      </c>
      <c r="X317" s="703" t="str">
        <f t="shared" si="395"/>
        <v>A</v>
      </c>
      <c r="Y317" s="703" t="str">
        <f t="shared" si="395"/>
        <v>A</v>
      </c>
      <c r="Z317" s="703" t="str">
        <f t="shared" si="395"/>
        <v>A</v>
      </c>
      <c r="AA317" s="703" t="str">
        <f t="shared" si="395"/>
        <v>A</v>
      </c>
      <c r="AB317" s="703" t="str">
        <f t="shared" si="395"/>
        <v>A</v>
      </c>
      <c r="AC317" s="703" t="str">
        <f t="shared" si="395"/>
        <v>A</v>
      </c>
      <c r="AD317" s="804"/>
      <c r="AE317" s="804"/>
      <c r="AF317" s="791"/>
      <c r="AG317" s="798"/>
      <c r="AH317" s="928"/>
      <c r="AI317" s="732"/>
      <c r="AJ317" s="733"/>
    </row>
    <row r="318" spans="1:52" hidden="1" outlineLevel="1" x14ac:dyDescent="0.25">
      <c r="A318" s="159"/>
      <c r="B318" s="1359"/>
      <c r="C318" s="667" t="str">
        <f>'Optimalizačné opatrenia'!$B$10</f>
        <v>Transparentnosť</v>
      </c>
      <c r="D318" s="718" t="str">
        <f t="shared" si="379"/>
        <v>N</v>
      </c>
      <c r="E318" s="703" t="str">
        <f t="shared" si="379"/>
        <v>N</v>
      </c>
      <c r="F318" s="703" t="str">
        <f t="shared" si="379"/>
        <v>N</v>
      </c>
      <c r="G318" s="703" t="str">
        <f t="shared" si="379"/>
        <v>N</v>
      </c>
      <c r="H318" s="703"/>
      <c r="I318" s="703"/>
      <c r="J318" s="703"/>
      <c r="K318" s="703"/>
      <c r="L318" s="703" t="str">
        <f t="shared" ref="L318:N318" si="396">L304</f>
        <v>N</v>
      </c>
      <c r="M318" s="703" t="str">
        <f t="shared" si="396"/>
        <v>N</v>
      </c>
      <c r="N318" s="703" t="str">
        <f t="shared" si="396"/>
        <v>N</v>
      </c>
      <c r="O318" s="703"/>
      <c r="P318" s="703" t="str">
        <f t="shared" ref="P318:AC318" si="397">P304</f>
        <v>A</v>
      </c>
      <c r="Q318" s="703" t="str">
        <f t="shared" si="397"/>
        <v>N</v>
      </c>
      <c r="R318" s="703" t="str">
        <f t="shared" si="397"/>
        <v>N</v>
      </c>
      <c r="S318" s="703" t="str">
        <f t="shared" si="397"/>
        <v>N</v>
      </c>
      <c r="T318" s="703" t="str">
        <f t="shared" si="397"/>
        <v>N</v>
      </c>
      <c r="U318" s="703" t="str">
        <f t="shared" si="397"/>
        <v>N</v>
      </c>
      <c r="V318" s="703" t="str">
        <f t="shared" si="397"/>
        <v>A</v>
      </c>
      <c r="W318" s="703" t="str">
        <f t="shared" si="397"/>
        <v>N</v>
      </c>
      <c r="X318" s="703" t="str">
        <f t="shared" si="397"/>
        <v>N</v>
      </c>
      <c r="Y318" s="703" t="str">
        <f t="shared" si="397"/>
        <v>N</v>
      </c>
      <c r="Z318" s="703" t="str">
        <f t="shared" si="397"/>
        <v>N</v>
      </c>
      <c r="AA318" s="703" t="str">
        <f t="shared" si="397"/>
        <v>A</v>
      </c>
      <c r="AB318" s="703" t="str">
        <f t="shared" si="397"/>
        <v>N</v>
      </c>
      <c r="AC318" s="703" t="str">
        <f t="shared" si="397"/>
        <v>N</v>
      </c>
      <c r="AD318" s="804"/>
      <c r="AE318" s="804"/>
      <c r="AF318" s="791"/>
      <c r="AG318" s="798"/>
      <c r="AH318" s="928"/>
      <c r="AI318" s="732"/>
      <c r="AJ318" s="733"/>
    </row>
    <row r="319" spans="1:52" hidden="1" outlineLevel="1" x14ac:dyDescent="0.25">
      <c r="A319" s="159"/>
      <c r="B319" s="1359"/>
      <c r="C319" s="667" t="str">
        <f>'Optimalizačné opatrenia'!$B$11</f>
        <v>Analyzovatelnosť</v>
      </c>
      <c r="D319" s="718" t="str">
        <f t="shared" si="379"/>
        <v>N</v>
      </c>
      <c r="E319" s="703" t="str">
        <f t="shared" si="379"/>
        <v>N</v>
      </c>
      <c r="F319" s="703" t="str">
        <f t="shared" si="379"/>
        <v>N</v>
      </c>
      <c r="G319" s="703" t="str">
        <f t="shared" si="379"/>
        <v>A</v>
      </c>
      <c r="H319" s="703"/>
      <c r="I319" s="703"/>
      <c r="J319" s="703"/>
      <c r="K319" s="703"/>
      <c r="L319" s="703" t="str">
        <f t="shared" ref="L319:N319" si="398">L305</f>
        <v>N</v>
      </c>
      <c r="M319" s="703" t="str">
        <f t="shared" si="398"/>
        <v>N</v>
      </c>
      <c r="N319" s="703" t="str">
        <f t="shared" si="398"/>
        <v>N</v>
      </c>
      <c r="O319" s="703"/>
      <c r="P319" s="703" t="str">
        <f t="shared" ref="P319:AC319" si="399">P305</f>
        <v>A</v>
      </c>
      <c r="Q319" s="703" t="str">
        <f t="shared" si="399"/>
        <v>A</v>
      </c>
      <c r="R319" s="703" t="str">
        <f t="shared" si="399"/>
        <v>A</v>
      </c>
      <c r="S319" s="703" t="str">
        <f t="shared" si="399"/>
        <v>A</v>
      </c>
      <c r="T319" s="703" t="str">
        <f t="shared" si="399"/>
        <v>A</v>
      </c>
      <c r="U319" s="703" t="str">
        <f t="shared" si="399"/>
        <v>A</v>
      </c>
      <c r="V319" s="703" t="str">
        <f t="shared" si="399"/>
        <v>A</v>
      </c>
      <c r="W319" s="703" t="str">
        <f t="shared" si="399"/>
        <v>A</v>
      </c>
      <c r="X319" s="703" t="str">
        <f t="shared" si="399"/>
        <v>A</v>
      </c>
      <c r="Y319" s="703" t="str">
        <f t="shared" si="399"/>
        <v>A</v>
      </c>
      <c r="Z319" s="703" t="str">
        <f t="shared" si="399"/>
        <v>A</v>
      </c>
      <c r="AA319" s="703" t="str">
        <f t="shared" si="399"/>
        <v>A</v>
      </c>
      <c r="AB319" s="703" t="str">
        <f t="shared" si="399"/>
        <v>A</v>
      </c>
      <c r="AC319" s="703" t="str">
        <f t="shared" si="399"/>
        <v>A</v>
      </c>
      <c r="AD319" s="804"/>
      <c r="AE319" s="804"/>
      <c r="AF319" s="791"/>
      <c r="AG319" s="798"/>
      <c r="AH319" s="928"/>
      <c r="AI319" s="732"/>
      <c r="AJ319" s="733"/>
    </row>
    <row r="320" spans="1:52" hidden="1" outlineLevel="1" x14ac:dyDescent="0.25">
      <c r="A320" s="159"/>
      <c r="B320" s="1359"/>
      <c r="C320" s="667" t="str">
        <f>'Optimalizačné opatrenia'!$B$12</f>
        <v>Integrácia</v>
      </c>
      <c r="D320" s="718" t="str">
        <f t="shared" si="379"/>
        <v>N</v>
      </c>
      <c r="E320" s="703" t="str">
        <f t="shared" si="379"/>
        <v>N</v>
      </c>
      <c r="F320" s="703" t="str">
        <f t="shared" si="379"/>
        <v>N</v>
      </c>
      <c r="G320" s="703" t="str">
        <f t="shared" si="379"/>
        <v>A</v>
      </c>
      <c r="H320" s="703"/>
      <c r="I320" s="703"/>
      <c r="J320" s="703"/>
      <c r="K320" s="703"/>
      <c r="L320" s="703" t="str">
        <f t="shared" ref="L320:N320" si="400">L306</f>
        <v>A</v>
      </c>
      <c r="M320" s="703" t="str">
        <f t="shared" si="400"/>
        <v>N</v>
      </c>
      <c r="N320" s="703" t="str">
        <f t="shared" si="400"/>
        <v>N</v>
      </c>
      <c r="O320" s="703"/>
      <c r="P320" s="703" t="str">
        <f t="shared" ref="P320:AC320" si="401">P306</f>
        <v>A</v>
      </c>
      <c r="Q320" s="703" t="str">
        <f t="shared" si="401"/>
        <v>A</v>
      </c>
      <c r="R320" s="703" t="str">
        <f t="shared" si="401"/>
        <v>A</v>
      </c>
      <c r="S320" s="703" t="str">
        <f t="shared" si="401"/>
        <v>A</v>
      </c>
      <c r="T320" s="703" t="str">
        <f t="shared" si="401"/>
        <v>A</v>
      </c>
      <c r="U320" s="703" t="str">
        <f t="shared" si="401"/>
        <v>A</v>
      </c>
      <c r="V320" s="703" t="str">
        <f t="shared" si="401"/>
        <v>A</v>
      </c>
      <c r="W320" s="703" t="str">
        <f t="shared" si="401"/>
        <v>A</v>
      </c>
      <c r="X320" s="703" t="str">
        <f t="shared" si="401"/>
        <v>A</v>
      </c>
      <c r="Y320" s="703" t="str">
        <f t="shared" si="401"/>
        <v>A</v>
      </c>
      <c r="Z320" s="703" t="str">
        <f t="shared" si="401"/>
        <v>A</v>
      </c>
      <c r="AA320" s="703" t="str">
        <f t="shared" si="401"/>
        <v>A</v>
      </c>
      <c r="AB320" s="703" t="str">
        <f t="shared" si="401"/>
        <v>A</v>
      </c>
      <c r="AC320" s="703" t="str">
        <f t="shared" si="401"/>
        <v>A</v>
      </c>
      <c r="AD320" s="804"/>
      <c r="AE320" s="804"/>
      <c r="AF320" s="791"/>
      <c r="AG320" s="798"/>
      <c r="AH320" s="928"/>
      <c r="AI320" s="732"/>
      <c r="AJ320" s="733"/>
    </row>
    <row r="321" spans="1:52" hidden="1" outlineLevel="1" x14ac:dyDescent="0.25">
      <c r="A321" s="159"/>
      <c r="B321" s="1359"/>
      <c r="C321" s="672" t="str">
        <f>'Optimalizačné opatrenia'!$B$13</f>
        <v>Proaktivita</v>
      </c>
      <c r="D321" s="718" t="str">
        <f t="shared" si="379"/>
        <v>N</v>
      </c>
      <c r="E321" s="703" t="str">
        <f t="shared" si="379"/>
        <v>N</v>
      </c>
      <c r="F321" s="703" t="str">
        <f t="shared" si="379"/>
        <v>N</v>
      </c>
      <c r="G321" s="703" t="str">
        <f t="shared" si="379"/>
        <v>N</v>
      </c>
      <c r="H321" s="703"/>
      <c r="I321" s="703"/>
      <c r="J321" s="703"/>
      <c r="K321" s="703"/>
      <c r="L321" s="703" t="str">
        <f t="shared" ref="L321:N321" si="402">L307</f>
        <v>A</v>
      </c>
      <c r="M321" s="703" t="str">
        <f t="shared" si="402"/>
        <v>N</v>
      </c>
      <c r="N321" s="703" t="str">
        <f t="shared" si="402"/>
        <v>N</v>
      </c>
      <c r="O321" s="703"/>
      <c r="P321" s="703" t="str">
        <f t="shared" ref="P321:AC321" si="403">P307</f>
        <v>N</v>
      </c>
      <c r="Q321" s="703" t="str">
        <f t="shared" si="403"/>
        <v>N</v>
      </c>
      <c r="R321" s="703" t="str">
        <f t="shared" si="403"/>
        <v>A</v>
      </c>
      <c r="S321" s="703" t="str">
        <f t="shared" si="403"/>
        <v>A</v>
      </c>
      <c r="T321" s="703" t="str">
        <f t="shared" si="403"/>
        <v>A</v>
      </c>
      <c r="U321" s="703" t="str">
        <f t="shared" si="403"/>
        <v>N</v>
      </c>
      <c r="V321" s="703" t="str">
        <f t="shared" si="403"/>
        <v>A</v>
      </c>
      <c r="W321" s="703" t="str">
        <f t="shared" si="403"/>
        <v>N</v>
      </c>
      <c r="X321" s="703" t="str">
        <f t="shared" si="403"/>
        <v>N</v>
      </c>
      <c r="Y321" s="703" t="str">
        <f t="shared" si="403"/>
        <v>A</v>
      </c>
      <c r="Z321" s="703" t="str">
        <f t="shared" si="403"/>
        <v>A</v>
      </c>
      <c r="AA321" s="703" t="str">
        <f t="shared" si="403"/>
        <v>A</v>
      </c>
      <c r="AB321" s="703" t="str">
        <f t="shared" si="403"/>
        <v>N</v>
      </c>
      <c r="AC321" s="703" t="str">
        <f t="shared" si="403"/>
        <v>A</v>
      </c>
      <c r="AD321" s="804"/>
      <c r="AE321" s="804"/>
      <c r="AF321" s="791"/>
      <c r="AG321" s="798"/>
      <c r="AH321" s="928"/>
      <c r="AI321" s="732"/>
      <c r="AJ321" s="733"/>
    </row>
    <row r="322" spans="1:52" hidden="1" outlineLevel="1" x14ac:dyDescent="0.25">
      <c r="A322" s="159"/>
      <c r="B322" s="720"/>
      <c r="C322" s="722" t="s">
        <v>538</v>
      </c>
      <c r="D322" s="723">
        <f t="shared" si="379"/>
        <v>0</v>
      </c>
      <c r="E322" s="721">
        <f t="shared" si="379"/>
        <v>0</v>
      </c>
      <c r="F322" s="724">
        <f t="shared" si="379"/>
        <v>0</v>
      </c>
      <c r="G322" s="724">
        <f t="shared" si="379"/>
        <v>0.3</v>
      </c>
      <c r="H322" s="724"/>
      <c r="I322" s="724"/>
      <c r="J322" s="724"/>
      <c r="K322" s="724"/>
      <c r="L322" s="724">
        <f t="shared" ref="L322:N322" si="404">L308</f>
        <v>0.25</v>
      </c>
      <c r="M322" s="724">
        <f t="shared" si="404"/>
        <v>0</v>
      </c>
      <c r="N322" s="724">
        <f t="shared" si="404"/>
        <v>0</v>
      </c>
      <c r="O322" s="724"/>
      <c r="P322" s="724">
        <f t="shared" ref="P322:AC322" si="405">P308</f>
        <v>0.45</v>
      </c>
      <c r="Q322" s="724">
        <f t="shared" si="405"/>
        <v>0.3</v>
      </c>
      <c r="R322" s="724">
        <f t="shared" si="405"/>
        <v>0.4</v>
      </c>
      <c r="S322" s="724">
        <f t="shared" si="405"/>
        <v>0.4</v>
      </c>
      <c r="T322" s="724">
        <f t="shared" si="405"/>
        <v>0.4</v>
      </c>
      <c r="U322" s="724">
        <f t="shared" si="405"/>
        <v>0.3</v>
      </c>
      <c r="V322" s="724">
        <f t="shared" si="405"/>
        <v>0.5</v>
      </c>
      <c r="W322" s="724">
        <f t="shared" si="405"/>
        <v>0.3</v>
      </c>
      <c r="X322" s="724">
        <f t="shared" si="405"/>
        <v>0.3</v>
      </c>
      <c r="Y322" s="724">
        <f t="shared" si="405"/>
        <v>0.4</v>
      </c>
      <c r="Z322" s="724">
        <f t="shared" si="405"/>
        <v>0.4</v>
      </c>
      <c r="AA322" s="724">
        <f t="shared" si="405"/>
        <v>0.5</v>
      </c>
      <c r="AB322" s="724">
        <f t="shared" si="405"/>
        <v>0.3</v>
      </c>
      <c r="AC322" s="724">
        <f t="shared" si="405"/>
        <v>0.4</v>
      </c>
      <c r="AD322" s="805"/>
      <c r="AE322" s="805"/>
      <c r="AF322" s="792"/>
      <c r="AG322" s="799"/>
      <c r="AH322" s="929"/>
      <c r="AI322" s="735"/>
      <c r="AJ322" s="736"/>
    </row>
    <row r="323" spans="1:52" ht="43.7" customHeight="1" collapsed="1" x14ac:dyDescent="0.25">
      <c r="A323" s="159">
        <f ca="1">OFFSET(A323,-14,0)+1</f>
        <v>23</v>
      </c>
      <c r="B323" s="668" t="str">
        <f ca="1">'Procesy - AS IS'!B79</f>
        <v>Meranie č. 23</v>
      </c>
      <c r="C323" s="671" t="str">
        <f>'Procesy - AS IS'!C79</f>
        <v>Štefan Fraňo, Ochrana ohrozených druhov, ktoré sú predmetom dohovoru CITES, 7840/2017</v>
      </c>
      <c r="D323" s="726">
        <f>-'Procesy - AS IS'!D81*D336</f>
        <v>0</v>
      </c>
      <c r="E323" s="653">
        <f>-'Procesy - AS IS'!E81*E336</f>
        <v>0</v>
      </c>
      <c r="F323" s="653">
        <f>-'Procesy - AS IS'!F81*F336</f>
        <v>0</v>
      </c>
      <c r="G323" s="653">
        <f>-'Procesy - AS IS'!G81*G336</f>
        <v>-1.2</v>
      </c>
      <c r="H323" s="653" t="s">
        <v>555</v>
      </c>
      <c r="I323" s="653" t="s">
        <v>555</v>
      </c>
      <c r="J323" s="653" t="s">
        <v>555</v>
      </c>
      <c r="K323" s="653" t="s">
        <v>555</v>
      </c>
      <c r="L323" s="653">
        <f>-'Procesy - AS IS'!L81*L336</f>
        <v>0</v>
      </c>
      <c r="M323" s="653">
        <f>-'Procesy - AS IS'!M81*M336</f>
        <v>0</v>
      </c>
      <c r="N323" s="653">
        <f>-'Procesy - AS IS'!N81*N336</f>
        <v>0</v>
      </c>
      <c r="O323" s="653" t="s">
        <v>559</v>
      </c>
      <c r="P323" s="653">
        <f>-'Procesy - AS IS'!P81*P336</f>
        <v>-0.45</v>
      </c>
      <c r="Q323" s="653">
        <f>-'Procesy - AS IS'!Q81*Q336</f>
        <v>0</v>
      </c>
      <c r="R323" s="653">
        <f>-'Procesy - AS IS'!R81*R336</f>
        <v>-8.1692307692307704</v>
      </c>
      <c r="S323" s="653">
        <f>-'Procesy - AS IS'!S81*S336</f>
        <v>-0.1730769230769231</v>
      </c>
      <c r="T323" s="653">
        <f>-'Procesy - AS IS'!T81*T336</f>
        <v>-2.7230769230769232</v>
      </c>
      <c r="U323" s="653">
        <f>-'Procesy - AS IS'!U81*U336</f>
        <v>-1.0384615384615385</v>
      </c>
      <c r="V323" s="653">
        <f>-'Procesy - AS IS'!V81*V336</f>
        <v>-0.25</v>
      </c>
      <c r="W323" s="653">
        <f>-'Procesy - AS IS'!W81*W336</f>
        <v>-5.7692307692307696E-2</v>
      </c>
      <c r="X323" s="653">
        <f>-'Procesy - AS IS'!X81*X336</f>
        <v>0</v>
      </c>
      <c r="Y323" s="653">
        <f>-'Procesy - AS IS'!Y81*Y336</f>
        <v>-2.4615384615384617</v>
      </c>
      <c r="Z323" s="653">
        <f>-'Procesy - AS IS'!Z81*Z336</f>
        <v>-9.6153846153846159E-3</v>
      </c>
      <c r="AA323" s="653">
        <f>-'Procesy - AS IS'!AA81*AA336</f>
        <v>-2.403846153846154E-2</v>
      </c>
      <c r="AB323" s="653">
        <f>-'Procesy - AS IS'!AB81*AB336</f>
        <v>-0.11538461538461539</v>
      </c>
      <c r="AC323" s="653">
        <f>-'Procesy - AS IS'!AC81*AC336</f>
        <v>-3.0769230769230771</v>
      </c>
      <c r="AD323" s="754"/>
      <c r="AE323" s="754">
        <f>SUM(D323:AC323)</f>
        <v>-19.749038461538465</v>
      </c>
      <c r="AF323" s="728">
        <f>AE323/'Procesy - AS IS'!AD81</f>
        <v>-0.38632559014389173</v>
      </c>
      <c r="AG323" s="797">
        <f>('Procesy - AS IS'!AG81/(1+$AF323)-'Procesy - AS IS'!AG81)/2</f>
        <v>32.73548703488018</v>
      </c>
      <c r="AH323" s="927">
        <f>('Procesy - AS IS'!AH81/(1+$AF323)-'Procesy - AS IS'!AH81)/2</f>
        <v>18.571093606326251</v>
      </c>
      <c r="AI323" s="730">
        <f>('Procesy - AS IS'!AI81/(1+$AF323)-'Procesy - AS IS'!AI81)/2</f>
        <v>12.590571936492374</v>
      </c>
      <c r="AJ323" s="731">
        <f>('Procesy - AS IS'!AJ81/(1+$AF323)-'Procesy - AS IS'!AJ81)/2</f>
        <v>1.5738214920615468</v>
      </c>
      <c r="AL323" s="232"/>
      <c r="AZ323" s="227"/>
    </row>
    <row r="324" spans="1:52" hidden="1" outlineLevel="1" x14ac:dyDescent="0.25">
      <c r="A324" s="159"/>
      <c r="B324" s="1358" t="s">
        <v>528</v>
      </c>
      <c r="C324" s="667" t="str">
        <f>'Optimalizačné opatrenia'!$B$2</f>
        <v>Modernizácia</v>
      </c>
      <c r="D324" s="718" t="str">
        <f t="shared" ref="D324:G324" si="406">D310</f>
        <v>N</v>
      </c>
      <c r="E324" s="703" t="str">
        <f t="shared" si="406"/>
        <v>N</v>
      </c>
      <c r="F324" s="703" t="str">
        <f t="shared" si="406"/>
        <v>N</v>
      </c>
      <c r="G324" s="703" t="str">
        <f t="shared" si="406"/>
        <v>A</v>
      </c>
      <c r="H324" s="703"/>
      <c r="I324" s="703"/>
      <c r="J324" s="703"/>
      <c r="K324" s="703"/>
      <c r="L324" s="703" t="str">
        <f t="shared" ref="L324:N324" si="407">L310</f>
        <v>A</v>
      </c>
      <c r="M324" s="703" t="str">
        <f t="shared" si="407"/>
        <v>N</v>
      </c>
      <c r="N324" s="703" t="str">
        <f t="shared" si="407"/>
        <v>N</v>
      </c>
      <c r="O324" s="703"/>
      <c r="P324" s="703" t="str">
        <f t="shared" ref="P324:AC324" si="408">P310</f>
        <v>A</v>
      </c>
      <c r="Q324" s="703" t="str">
        <f t="shared" si="408"/>
        <v>A</v>
      </c>
      <c r="R324" s="703" t="str">
        <f t="shared" si="408"/>
        <v>A</v>
      </c>
      <c r="S324" s="703" t="str">
        <f t="shared" si="408"/>
        <v>A</v>
      </c>
      <c r="T324" s="703" t="str">
        <f t="shared" si="408"/>
        <v>A</v>
      </c>
      <c r="U324" s="703" t="str">
        <f t="shared" si="408"/>
        <v>A</v>
      </c>
      <c r="V324" s="703" t="str">
        <f t="shared" si="408"/>
        <v>A</v>
      </c>
      <c r="W324" s="703" t="str">
        <f t="shared" si="408"/>
        <v>A</v>
      </c>
      <c r="X324" s="703" t="str">
        <f t="shared" si="408"/>
        <v>A</v>
      </c>
      <c r="Y324" s="703" t="str">
        <f t="shared" si="408"/>
        <v>A</v>
      </c>
      <c r="Z324" s="703" t="str">
        <f t="shared" si="408"/>
        <v>A</v>
      </c>
      <c r="AA324" s="703" t="str">
        <f t="shared" si="408"/>
        <v>A</v>
      </c>
      <c r="AB324" s="703" t="str">
        <f t="shared" si="408"/>
        <v>A</v>
      </c>
      <c r="AC324" s="703" t="str">
        <f t="shared" si="408"/>
        <v>A</v>
      </c>
      <c r="AD324" s="804"/>
      <c r="AE324" s="804"/>
      <c r="AF324" s="791"/>
      <c r="AG324" s="798"/>
      <c r="AH324" s="928"/>
      <c r="AI324" s="732"/>
      <c r="AJ324" s="733"/>
    </row>
    <row r="325" spans="1:52" hidden="1" outlineLevel="1" x14ac:dyDescent="0.25">
      <c r="A325" s="159"/>
      <c r="B325" s="1359"/>
      <c r="C325" s="667" t="str">
        <f>'Optimalizačné opatrenia'!$B$3</f>
        <v>Sfunkčnenie</v>
      </c>
      <c r="D325" s="718" t="str">
        <f t="shared" ref="D325:G325" si="409">D311</f>
        <v>N</v>
      </c>
      <c r="E325" s="703" t="str">
        <f t="shared" si="409"/>
        <v>N</v>
      </c>
      <c r="F325" s="703" t="str">
        <f t="shared" si="409"/>
        <v>N</v>
      </c>
      <c r="G325" s="703" t="str">
        <f t="shared" si="409"/>
        <v>N</v>
      </c>
      <c r="H325" s="703"/>
      <c r="I325" s="703"/>
      <c r="J325" s="703"/>
      <c r="K325" s="703"/>
      <c r="L325" s="703" t="str">
        <f t="shared" ref="L325:N325" si="410">L311</f>
        <v>N</v>
      </c>
      <c r="M325" s="703" t="str">
        <f t="shared" si="410"/>
        <v>N</v>
      </c>
      <c r="N325" s="703" t="str">
        <f t="shared" si="410"/>
        <v>N</v>
      </c>
      <c r="O325" s="703"/>
      <c r="P325" s="703" t="str">
        <f t="shared" ref="P325:AC325" si="411">P311</f>
        <v>N</v>
      </c>
      <c r="Q325" s="703" t="str">
        <f t="shared" si="411"/>
        <v>N</v>
      </c>
      <c r="R325" s="703" t="str">
        <f t="shared" si="411"/>
        <v>N</v>
      </c>
      <c r="S325" s="703" t="str">
        <f t="shared" si="411"/>
        <v>N</v>
      </c>
      <c r="T325" s="703" t="str">
        <f t="shared" si="411"/>
        <v>N</v>
      </c>
      <c r="U325" s="703" t="str">
        <f t="shared" si="411"/>
        <v>N</v>
      </c>
      <c r="V325" s="703" t="str">
        <f t="shared" si="411"/>
        <v>N</v>
      </c>
      <c r="W325" s="703" t="str">
        <f t="shared" si="411"/>
        <v>N</v>
      </c>
      <c r="X325" s="703" t="str">
        <f t="shared" si="411"/>
        <v>N</v>
      </c>
      <c r="Y325" s="703" t="str">
        <f t="shared" si="411"/>
        <v>N</v>
      </c>
      <c r="Z325" s="703" t="str">
        <f t="shared" si="411"/>
        <v>N</v>
      </c>
      <c r="AA325" s="703" t="str">
        <f t="shared" si="411"/>
        <v>N</v>
      </c>
      <c r="AB325" s="703" t="str">
        <f t="shared" si="411"/>
        <v>N</v>
      </c>
      <c r="AC325" s="703" t="str">
        <f t="shared" si="411"/>
        <v>N</v>
      </c>
      <c r="AD325" s="804"/>
      <c r="AE325" s="804"/>
      <c r="AF325" s="791"/>
      <c r="AG325" s="798"/>
      <c r="AH325" s="928"/>
      <c r="AI325" s="732"/>
      <c r="AJ325" s="733"/>
    </row>
    <row r="326" spans="1:52" hidden="1" outlineLevel="1" x14ac:dyDescent="0.25">
      <c r="A326" s="159"/>
      <c r="B326" s="1359"/>
      <c r="C326" s="667" t="str">
        <f>'Optimalizačné opatrenia'!$B$4</f>
        <v>Zjednotenie</v>
      </c>
      <c r="D326" s="718" t="str">
        <f t="shared" ref="D326:G326" si="412">D312</f>
        <v>N</v>
      </c>
      <c r="E326" s="703" t="str">
        <f t="shared" si="412"/>
        <v>N</v>
      </c>
      <c r="F326" s="703" t="str">
        <f t="shared" si="412"/>
        <v>N</v>
      </c>
      <c r="G326" s="703" t="str">
        <f t="shared" si="412"/>
        <v>A</v>
      </c>
      <c r="H326" s="703"/>
      <c r="I326" s="703"/>
      <c r="J326" s="703"/>
      <c r="K326" s="703"/>
      <c r="L326" s="703" t="str">
        <f t="shared" ref="L326:N326" si="413">L312</f>
        <v>A</v>
      </c>
      <c r="M326" s="703" t="str">
        <f t="shared" si="413"/>
        <v>N</v>
      </c>
      <c r="N326" s="703" t="str">
        <f t="shared" si="413"/>
        <v>N</v>
      </c>
      <c r="O326" s="703"/>
      <c r="P326" s="703" t="str">
        <f t="shared" ref="P326:AC326" si="414">P312</f>
        <v>A</v>
      </c>
      <c r="Q326" s="703" t="str">
        <f t="shared" si="414"/>
        <v>A</v>
      </c>
      <c r="R326" s="703" t="str">
        <f t="shared" si="414"/>
        <v>A</v>
      </c>
      <c r="S326" s="703" t="str">
        <f t="shared" si="414"/>
        <v>A</v>
      </c>
      <c r="T326" s="703" t="str">
        <f t="shared" si="414"/>
        <v>A</v>
      </c>
      <c r="U326" s="703" t="str">
        <f t="shared" si="414"/>
        <v>A</v>
      </c>
      <c r="V326" s="703" t="str">
        <f t="shared" si="414"/>
        <v>A</v>
      </c>
      <c r="W326" s="703" t="str">
        <f t="shared" si="414"/>
        <v>A</v>
      </c>
      <c r="X326" s="703" t="str">
        <f t="shared" si="414"/>
        <v>A</v>
      </c>
      <c r="Y326" s="703" t="str">
        <f t="shared" si="414"/>
        <v>A</v>
      </c>
      <c r="Z326" s="703" t="str">
        <f t="shared" si="414"/>
        <v>A</v>
      </c>
      <c r="AA326" s="703" t="str">
        <f t="shared" si="414"/>
        <v>A</v>
      </c>
      <c r="AB326" s="703" t="str">
        <f t="shared" si="414"/>
        <v>A</v>
      </c>
      <c r="AC326" s="703" t="str">
        <f t="shared" si="414"/>
        <v>A</v>
      </c>
      <c r="AD326" s="804"/>
      <c r="AE326" s="804"/>
      <c r="AF326" s="791"/>
      <c r="AG326" s="798"/>
      <c r="AH326" s="928"/>
      <c r="AI326" s="732"/>
      <c r="AJ326" s="733"/>
    </row>
    <row r="327" spans="1:52" hidden="1" outlineLevel="1" x14ac:dyDescent="0.25">
      <c r="A327" s="159"/>
      <c r="B327" s="1359"/>
      <c r="C327" s="667" t="str">
        <f>'Optimalizačné opatrenia'!$B$5</f>
        <v>Centralizácia</v>
      </c>
      <c r="D327" s="718" t="str">
        <f t="shared" ref="D327:G327" si="415">D313</f>
        <v>N</v>
      </c>
      <c r="E327" s="703" t="str">
        <f t="shared" si="415"/>
        <v>N</v>
      </c>
      <c r="F327" s="703" t="str">
        <f t="shared" si="415"/>
        <v>N</v>
      </c>
      <c r="G327" s="703" t="str">
        <f t="shared" si="415"/>
        <v>A</v>
      </c>
      <c r="H327" s="703"/>
      <c r="I327" s="703"/>
      <c r="J327" s="703"/>
      <c r="K327" s="703"/>
      <c r="L327" s="703" t="str">
        <f t="shared" ref="L327:N327" si="416">L313</f>
        <v>A</v>
      </c>
      <c r="M327" s="703" t="str">
        <f t="shared" si="416"/>
        <v>N</v>
      </c>
      <c r="N327" s="703" t="str">
        <f t="shared" si="416"/>
        <v>N</v>
      </c>
      <c r="O327" s="703"/>
      <c r="P327" s="703" t="str">
        <f t="shared" ref="P327:AC327" si="417">P313</f>
        <v>A</v>
      </c>
      <c r="Q327" s="703" t="str">
        <f t="shared" si="417"/>
        <v>A</v>
      </c>
      <c r="R327" s="703" t="str">
        <f t="shared" si="417"/>
        <v>A</v>
      </c>
      <c r="S327" s="703" t="str">
        <f t="shared" si="417"/>
        <v>A</v>
      </c>
      <c r="T327" s="703" t="str">
        <f t="shared" si="417"/>
        <v>A</v>
      </c>
      <c r="U327" s="703" t="str">
        <f t="shared" si="417"/>
        <v>A</v>
      </c>
      <c r="V327" s="703" t="str">
        <f t="shared" si="417"/>
        <v>A</v>
      </c>
      <c r="W327" s="703" t="str">
        <f t="shared" si="417"/>
        <v>A</v>
      </c>
      <c r="X327" s="703" t="str">
        <f t="shared" si="417"/>
        <v>A</v>
      </c>
      <c r="Y327" s="703" t="str">
        <f t="shared" si="417"/>
        <v>A</v>
      </c>
      <c r="Z327" s="703" t="str">
        <f t="shared" si="417"/>
        <v>A</v>
      </c>
      <c r="AA327" s="703" t="str">
        <f t="shared" si="417"/>
        <v>A</v>
      </c>
      <c r="AB327" s="703" t="str">
        <f t="shared" si="417"/>
        <v>A</v>
      </c>
      <c r="AC327" s="703" t="str">
        <f t="shared" si="417"/>
        <v>A</v>
      </c>
      <c r="AD327" s="804"/>
      <c r="AE327" s="804"/>
      <c r="AF327" s="791"/>
      <c r="AG327" s="798"/>
      <c r="AH327" s="928"/>
      <c r="AI327" s="732"/>
      <c r="AJ327" s="733"/>
    </row>
    <row r="328" spans="1:52" hidden="1" outlineLevel="1" x14ac:dyDescent="0.25">
      <c r="A328" s="159"/>
      <c r="B328" s="1359"/>
      <c r="C328" s="667" t="str">
        <f>'Optimalizačné opatrenia'!$B$6</f>
        <v>Elektronizácia</v>
      </c>
      <c r="D328" s="718" t="str">
        <f t="shared" ref="D328:G328" si="418">D314</f>
        <v>N</v>
      </c>
      <c r="E328" s="703" t="str">
        <f t="shared" si="418"/>
        <v>N</v>
      </c>
      <c r="F328" s="703" t="str">
        <f t="shared" si="418"/>
        <v>N</v>
      </c>
      <c r="G328" s="703" t="str">
        <f t="shared" si="418"/>
        <v>A</v>
      </c>
      <c r="H328" s="703"/>
      <c r="I328" s="703"/>
      <c r="J328" s="703"/>
      <c r="K328" s="703"/>
      <c r="L328" s="703" t="str">
        <f t="shared" ref="L328:N328" si="419">L314</f>
        <v>A</v>
      </c>
      <c r="M328" s="703" t="str">
        <f t="shared" si="419"/>
        <v>N</v>
      </c>
      <c r="N328" s="703" t="str">
        <f t="shared" si="419"/>
        <v>N</v>
      </c>
      <c r="O328" s="703"/>
      <c r="P328" s="703" t="str">
        <f t="shared" ref="P328:AC328" si="420">P314</f>
        <v>A</v>
      </c>
      <c r="Q328" s="703" t="str">
        <f t="shared" si="420"/>
        <v>A</v>
      </c>
      <c r="R328" s="703" t="str">
        <f t="shared" si="420"/>
        <v>A</v>
      </c>
      <c r="S328" s="703" t="str">
        <f t="shared" si="420"/>
        <v>A</v>
      </c>
      <c r="T328" s="703" t="str">
        <f t="shared" si="420"/>
        <v>A</v>
      </c>
      <c r="U328" s="703" t="str">
        <f t="shared" si="420"/>
        <v>A</v>
      </c>
      <c r="V328" s="703" t="str">
        <f t="shared" si="420"/>
        <v>A</v>
      </c>
      <c r="W328" s="703" t="str">
        <f t="shared" si="420"/>
        <v>A</v>
      </c>
      <c r="X328" s="703" t="str">
        <f t="shared" si="420"/>
        <v>A</v>
      </c>
      <c r="Y328" s="703" t="str">
        <f t="shared" si="420"/>
        <v>A</v>
      </c>
      <c r="Z328" s="703" t="str">
        <f t="shared" si="420"/>
        <v>A</v>
      </c>
      <c r="AA328" s="703" t="str">
        <f t="shared" si="420"/>
        <v>A</v>
      </c>
      <c r="AB328" s="703" t="str">
        <f t="shared" si="420"/>
        <v>A</v>
      </c>
      <c r="AC328" s="703" t="str">
        <f t="shared" si="420"/>
        <v>A</v>
      </c>
      <c r="AD328" s="804"/>
      <c r="AE328" s="804"/>
      <c r="AF328" s="791"/>
      <c r="AG328" s="798"/>
      <c r="AH328" s="928"/>
      <c r="AI328" s="732"/>
      <c r="AJ328" s="733"/>
    </row>
    <row r="329" spans="1:52" hidden="1" outlineLevel="1" x14ac:dyDescent="0.25">
      <c r="A329" s="159"/>
      <c r="B329" s="1359"/>
      <c r="C329" s="667" t="str">
        <f>'Optimalizačné opatrenia'!$B$7</f>
        <v>Automatizácia</v>
      </c>
      <c r="D329" s="718" t="str">
        <f t="shared" ref="D329:G329" si="421">D315</f>
        <v>N</v>
      </c>
      <c r="E329" s="703" t="str">
        <f t="shared" si="421"/>
        <v>N</v>
      </c>
      <c r="F329" s="703" t="str">
        <f t="shared" si="421"/>
        <v>N</v>
      </c>
      <c r="G329" s="703" t="str">
        <f t="shared" si="421"/>
        <v>A</v>
      </c>
      <c r="H329" s="703"/>
      <c r="I329" s="703"/>
      <c r="J329" s="703"/>
      <c r="K329" s="703"/>
      <c r="L329" s="703" t="str">
        <f t="shared" ref="L329:N329" si="422">L315</f>
        <v>A</v>
      </c>
      <c r="M329" s="703" t="str">
        <f t="shared" si="422"/>
        <v>N</v>
      </c>
      <c r="N329" s="703" t="str">
        <f t="shared" si="422"/>
        <v>N</v>
      </c>
      <c r="O329" s="703"/>
      <c r="P329" s="703" t="str">
        <f t="shared" ref="P329:AC329" si="423">P315</f>
        <v>A</v>
      </c>
      <c r="Q329" s="703" t="str">
        <f t="shared" si="423"/>
        <v>A</v>
      </c>
      <c r="R329" s="703" t="str">
        <f t="shared" si="423"/>
        <v>A</v>
      </c>
      <c r="S329" s="703" t="str">
        <f t="shared" si="423"/>
        <v>A</v>
      </c>
      <c r="T329" s="703" t="str">
        <f t="shared" si="423"/>
        <v>A</v>
      </c>
      <c r="U329" s="703" t="str">
        <f t="shared" si="423"/>
        <v>A</v>
      </c>
      <c r="V329" s="703" t="str">
        <f t="shared" si="423"/>
        <v>A</v>
      </c>
      <c r="W329" s="703" t="str">
        <f t="shared" si="423"/>
        <v>A</v>
      </c>
      <c r="X329" s="703" t="str">
        <f t="shared" si="423"/>
        <v>A</v>
      </c>
      <c r="Y329" s="703" t="str">
        <f t="shared" si="423"/>
        <v>A</v>
      </c>
      <c r="Z329" s="703" t="str">
        <f t="shared" si="423"/>
        <v>A</v>
      </c>
      <c r="AA329" s="703" t="str">
        <f t="shared" si="423"/>
        <v>A</v>
      </c>
      <c r="AB329" s="703" t="str">
        <f t="shared" si="423"/>
        <v>A</v>
      </c>
      <c r="AC329" s="703" t="str">
        <f t="shared" si="423"/>
        <v>A</v>
      </c>
      <c r="AD329" s="804"/>
      <c r="AE329" s="804"/>
      <c r="AF329" s="791"/>
      <c r="AG329" s="798"/>
      <c r="AH329" s="928"/>
      <c r="AI329" s="732"/>
      <c r="AJ329" s="733"/>
    </row>
    <row r="330" spans="1:52" hidden="1" outlineLevel="1" x14ac:dyDescent="0.25">
      <c r="A330" s="159"/>
      <c r="B330" s="1359"/>
      <c r="C330" s="667" t="str">
        <f>'Optimalizačné opatrenia'!$B$8</f>
        <v>Bezpečnosť</v>
      </c>
      <c r="D330" s="718" t="str">
        <f t="shared" ref="D330:G330" si="424">D316</f>
        <v>N</v>
      </c>
      <c r="E330" s="703" t="str">
        <f t="shared" si="424"/>
        <v>N</v>
      </c>
      <c r="F330" s="703" t="str">
        <f t="shared" si="424"/>
        <v>N</v>
      </c>
      <c r="G330" s="703" t="str">
        <f t="shared" si="424"/>
        <v>A</v>
      </c>
      <c r="H330" s="703"/>
      <c r="I330" s="703"/>
      <c r="J330" s="703"/>
      <c r="K330" s="703"/>
      <c r="L330" s="703" t="str">
        <f t="shared" ref="L330:N330" si="425">L316</f>
        <v>A</v>
      </c>
      <c r="M330" s="703" t="str">
        <f t="shared" si="425"/>
        <v>N</v>
      </c>
      <c r="N330" s="703" t="str">
        <f t="shared" si="425"/>
        <v>N</v>
      </c>
      <c r="O330" s="703"/>
      <c r="P330" s="703" t="str">
        <f t="shared" ref="P330:AC330" si="426">P316</f>
        <v>A</v>
      </c>
      <c r="Q330" s="703" t="str">
        <f t="shared" si="426"/>
        <v>A</v>
      </c>
      <c r="R330" s="703" t="str">
        <f t="shared" si="426"/>
        <v>A</v>
      </c>
      <c r="S330" s="703" t="str">
        <f t="shared" si="426"/>
        <v>A</v>
      </c>
      <c r="T330" s="703" t="str">
        <f t="shared" si="426"/>
        <v>A</v>
      </c>
      <c r="U330" s="703" t="str">
        <f t="shared" si="426"/>
        <v>A</v>
      </c>
      <c r="V330" s="703" t="str">
        <f t="shared" si="426"/>
        <v>A</v>
      </c>
      <c r="W330" s="703" t="str">
        <f t="shared" si="426"/>
        <v>A</v>
      </c>
      <c r="X330" s="703" t="str">
        <f t="shared" si="426"/>
        <v>A</v>
      </c>
      <c r="Y330" s="703" t="str">
        <f t="shared" si="426"/>
        <v>A</v>
      </c>
      <c r="Z330" s="703" t="str">
        <f t="shared" si="426"/>
        <v>A</v>
      </c>
      <c r="AA330" s="703" t="str">
        <f t="shared" si="426"/>
        <v>A</v>
      </c>
      <c r="AB330" s="703" t="str">
        <f t="shared" si="426"/>
        <v>A</v>
      </c>
      <c r="AC330" s="703" t="str">
        <f t="shared" si="426"/>
        <v>A</v>
      </c>
      <c r="AD330" s="804"/>
      <c r="AE330" s="804"/>
      <c r="AF330" s="791"/>
      <c r="AG330" s="798"/>
      <c r="AH330" s="928"/>
      <c r="AI330" s="732"/>
      <c r="AJ330" s="733"/>
    </row>
    <row r="331" spans="1:52" hidden="1" outlineLevel="1" x14ac:dyDescent="0.25">
      <c r="A331" s="159"/>
      <c r="B331" s="1359"/>
      <c r="C331" s="667" t="str">
        <f>'Optimalizačné opatrenia'!$B$9</f>
        <v>Auditovateľnosť</v>
      </c>
      <c r="D331" s="718" t="str">
        <f t="shared" ref="D331:G331" si="427">D317</f>
        <v>N</v>
      </c>
      <c r="E331" s="703" t="str">
        <f t="shared" si="427"/>
        <v>N</v>
      </c>
      <c r="F331" s="703" t="str">
        <f t="shared" si="427"/>
        <v>N</v>
      </c>
      <c r="G331" s="703" t="str">
        <f t="shared" si="427"/>
        <v>A</v>
      </c>
      <c r="H331" s="703"/>
      <c r="I331" s="703"/>
      <c r="J331" s="703"/>
      <c r="K331" s="703"/>
      <c r="L331" s="703" t="str">
        <f t="shared" ref="L331:N331" si="428">L317</f>
        <v>N</v>
      </c>
      <c r="M331" s="703" t="str">
        <f t="shared" si="428"/>
        <v>N</v>
      </c>
      <c r="N331" s="703" t="str">
        <f t="shared" si="428"/>
        <v>N</v>
      </c>
      <c r="O331" s="703"/>
      <c r="P331" s="703" t="str">
        <f t="shared" ref="P331:AC331" si="429">P317</f>
        <v>A</v>
      </c>
      <c r="Q331" s="703" t="str">
        <f t="shared" si="429"/>
        <v>A</v>
      </c>
      <c r="R331" s="703" t="str">
        <f t="shared" si="429"/>
        <v>A</v>
      </c>
      <c r="S331" s="703" t="str">
        <f t="shared" si="429"/>
        <v>A</v>
      </c>
      <c r="T331" s="703" t="str">
        <f t="shared" si="429"/>
        <v>A</v>
      </c>
      <c r="U331" s="703" t="str">
        <f t="shared" si="429"/>
        <v>A</v>
      </c>
      <c r="V331" s="703" t="str">
        <f t="shared" si="429"/>
        <v>A</v>
      </c>
      <c r="W331" s="703" t="str">
        <f t="shared" si="429"/>
        <v>A</v>
      </c>
      <c r="X331" s="703" t="str">
        <f t="shared" si="429"/>
        <v>A</v>
      </c>
      <c r="Y331" s="703" t="str">
        <f t="shared" si="429"/>
        <v>A</v>
      </c>
      <c r="Z331" s="703" t="str">
        <f t="shared" si="429"/>
        <v>A</v>
      </c>
      <c r="AA331" s="703" t="str">
        <f t="shared" si="429"/>
        <v>A</v>
      </c>
      <c r="AB331" s="703" t="str">
        <f t="shared" si="429"/>
        <v>A</v>
      </c>
      <c r="AC331" s="703" t="str">
        <f t="shared" si="429"/>
        <v>A</v>
      </c>
      <c r="AD331" s="804"/>
      <c r="AE331" s="804"/>
      <c r="AF331" s="791"/>
      <c r="AG331" s="798"/>
      <c r="AH331" s="928"/>
      <c r="AI331" s="732"/>
      <c r="AJ331" s="733"/>
    </row>
    <row r="332" spans="1:52" hidden="1" outlineLevel="1" x14ac:dyDescent="0.25">
      <c r="A332" s="159"/>
      <c r="B332" s="1359"/>
      <c r="C332" s="667" t="str">
        <f>'Optimalizačné opatrenia'!$B$10</f>
        <v>Transparentnosť</v>
      </c>
      <c r="D332" s="718" t="str">
        <f t="shared" ref="D332:G332" si="430">D318</f>
        <v>N</v>
      </c>
      <c r="E332" s="703" t="str">
        <f t="shared" si="430"/>
        <v>N</v>
      </c>
      <c r="F332" s="703" t="str">
        <f t="shared" si="430"/>
        <v>N</v>
      </c>
      <c r="G332" s="703" t="str">
        <f t="shared" si="430"/>
        <v>N</v>
      </c>
      <c r="H332" s="703"/>
      <c r="I332" s="703"/>
      <c r="J332" s="703"/>
      <c r="K332" s="703"/>
      <c r="L332" s="703" t="str">
        <f t="shared" ref="L332:N332" si="431">L318</f>
        <v>N</v>
      </c>
      <c r="M332" s="703" t="str">
        <f t="shared" si="431"/>
        <v>N</v>
      </c>
      <c r="N332" s="703" t="str">
        <f t="shared" si="431"/>
        <v>N</v>
      </c>
      <c r="O332" s="703"/>
      <c r="P332" s="703" t="str">
        <f t="shared" ref="P332:AC332" si="432">P318</f>
        <v>A</v>
      </c>
      <c r="Q332" s="703" t="str">
        <f t="shared" si="432"/>
        <v>N</v>
      </c>
      <c r="R332" s="703" t="str">
        <f t="shared" si="432"/>
        <v>N</v>
      </c>
      <c r="S332" s="703" t="str">
        <f t="shared" si="432"/>
        <v>N</v>
      </c>
      <c r="T332" s="703" t="str">
        <f t="shared" si="432"/>
        <v>N</v>
      </c>
      <c r="U332" s="703" t="str">
        <f t="shared" si="432"/>
        <v>N</v>
      </c>
      <c r="V332" s="703" t="str">
        <f t="shared" si="432"/>
        <v>A</v>
      </c>
      <c r="W332" s="703" t="str">
        <f t="shared" si="432"/>
        <v>N</v>
      </c>
      <c r="X332" s="703" t="str">
        <f t="shared" si="432"/>
        <v>N</v>
      </c>
      <c r="Y332" s="703" t="str">
        <f t="shared" si="432"/>
        <v>N</v>
      </c>
      <c r="Z332" s="703" t="str">
        <f t="shared" si="432"/>
        <v>N</v>
      </c>
      <c r="AA332" s="703" t="str">
        <f t="shared" si="432"/>
        <v>A</v>
      </c>
      <c r="AB332" s="703" t="str">
        <f t="shared" si="432"/>
        <v>N</v>
      </c>
      <c r="AC332" s="703" t="str">
        <f t="shared" si="432"/>
        <v>N</v>
      </c>
      <c r="AD332" s="804"/>
      <c r="AE332" s="804"/>
      <c r="AF332" s="791"/>
      <c r="AG332" s="798"/>
      <c r="AH332" s="928"/>
      <c r="AI332" s="732"/>
      <c r="AJ332" s="733"/>
    </row>
    <row r="333" spans="1:52" hidden="1" outlineLevel="1" x14ac:dyDescent="0.25">
      <c r="A333" s="159"/>
      <c r="B333" s="1359"/>
      <c r="C333" s="667" t="str">
        <f>'Optimalizačné opatrenia'!$B$11</f>
        <v>Analyzovatelnosť</v>
      </c>
      <c r="D333" s="718" t="str">
        <f t="shared" ref="D333:G333" si="433">D319</f>
        <v>N</v>
      </c>
      <c r="E333" s="703" t="str">
        <f t="shared" si="433"/>
        <v>N</v>
      </c>
      <c r="F333" s="703" t="str">
        <f t="shared" si="433"/>
        <v>N</v>
      </c>
      <c r="G333" s="703" t="str">
        <f t="shared" si="433"/>
        <v>A</v>
      </c>
      <c r="H333" s="703"/>
      <c r="I333" s="703"/>
      <c r="J333" s="703"/>
      <c r="K333" s="703"/>
      <c r="L333" s="703" t="str">
        <f t="shared" ref="L333:N333" si="434">L319</f>
        <v>N</v>
      </c>
      <c r="M333" s="703" t="str">
        <f t="shared" si="434"/>
        <v>N</v>
      </c>
      <c r="N333" s="703" t="str">
        <f t="shared" si="434"/>
        <v>N</v>
      </c>
      <c r="O333" s="703"/>
      <c r="P333" s="703" t="str">
        <f t="shared" ref="P333:AC333" si="435">P319</f>
        <v>A</v>
      </c>
      <c r="Q333" s="703" t="str">
        <f t="shared" si="435"/>
        <v>A</v>
      </c>
      <c r="R333" s="703" t="str">
        <f t="shared" si="435"/>
        <v>A</v>
      </c>
      <c r="S333" s="703" t="str">
        <f t="shared" si="435"/>
        <v>A</v>
      </c>
      <c r="T333" s="703" t="str">
        <f t="shared" si="435"/>
        <v>A</v>
      </c>
      <c r="U333" s="703" t="str">
        <f t="shared" si="435"/>
        <v>A</v>
      </c>
      <c r="V333" s="703" t="str">
        <f t="shared" si="435"/>
        <v>A</v>
      </c>
      <c r="W333" s="703" t="str">
        <f t="shared" si="435"/>
        <v>A</v>
      </c>
      <c r="X333" s="703" t="str">
        <f t="shared" si="435"/>
        <v>A</v>
      </c>
      <c r="Y333" s="703" t="str">
        <f t="shared" si="435"/>
        <v>A</v>
      </c>
      <c r="Z333" s="703" t="str">
        <f t="shared" si="435"/>
        <v>A</v>
      </c>
      <c r="AA333" s="703" t="str">
        <f t="shared" si="435"/>
        <v>A</v>
      </c>
      <c r="AB333" s="703" t="str">
        <f t="shared" si="435"/>
        <v>A</v>
      </c>
      <c r="AC333" s="703" t="str">
        <f t="shared" si="435"/>
        <v>A</v>
      </c>
      <c r="AD333" s="804"/>
      <c r="AE333" s="804"/>
      <c r="AF333" s="791"/>
      <c r="AG333" s="798"/>
      <c r="AH333" s="928"/>
      <c r="AI333" s="732"/>
      <c r="AJ333" s="733"/>
    </row>
    <row r="334" spans="1:52" hidden="1" outlineLevel="1" x14ac:dyDescent="0.25">
      <c r="A334" s="159"/>
      <c r="B334" s="1359"/>
      <c r="C334" s="667" t="str">
        <f>'Optimalizačné opatrenia'!$B$12</f>
        <v>Integrácia</v>
      </c>
      <c r="D334" s="718" t="str">
        <f t="shared" ref="D334:G334" si="436">D320</f>
        <v>N</v>
      </c>
      <c r="E334" s="703" t="str">
        <f t="shared" si="436"/>
        <v>N</v>
      </c>
      <c r="F334" s="703" t="str">
        <f t="shared" si="436"/>
        <v>N</v>
      </c>
      <c r="G334" s="703" t="str">
        <f t="shared" si="436"/>
        <v>A</v>
      </c>
      <c r="H334" s="703"/>
      <c r="I334" s="703"/>
      <c r="J334" s="703"/>
      <c r="K334" s="703"/>
      <c r="L334" s="703" t="str">
        <f t="shared" ref="L334:N334" si="437">L320</f>
        <v>A</v>
      </c>
      <c r="M334" s="703" t="str">
        <f t="shared" si="437"/>
        <v>N</v>
      </c>
      <c r="N334" s="703" t="str">
        <f t="shared" si="437"/>
        <v>N</v>
      </c>
      <c r="O334" s="703"/>
      <c r="P334" s="703" t="str">
        <f t="shared" ref="P334:AC334" si="438">P320</f>
        <v>A</v>
      </c>
      <c r="Q334" s="703" t="str">
        <f t="shared" si="438"/>
        <v>A</v>
      </c>
      <c r="R334" s="703" t="str">
        <f t="shared" si="438"/>
        <v>A</v>
      </c>
      <c r="S334" s="703" t="str">
        <f t="shared" si="438"/>
        <v>A</v>
      </c>
      <c r="T334" s="703" t="str">
        <f t="shared" si="438"/>
        <v>A</v>
      </c>
      <c r="U334" s="703" t="str">
        <f t="shared" si="438"/>
        <v>A</v>
      </c>
      <c r="V334" s="703" t="str">
        <f t="shared" si="438"/>
        <v>A</v>
      </c>
      <c r="W334" s="703" t="str">
        <f t="shared" si="438"/>
        <v>A</v>
      </c>
      <c r="X334" s="703" t="str">
        <f t="shared" si="438"/>
        <v>A</v>
      </c>
      <c r="Y334" s="703" t="str">
        <f t="shared" si="438"/>
        <v>A</v>
      </c>
      <c r="Z334" s="703" t="str">
        <f t="shared" si="438"/>
        <v>A</v>
      </c>
      <c r="AA334" s="703" t="str">
        <f t="shared" si="438"/>
        <v>A</v>
      </c>
      <c r="AB334" s="703" t="str">
        <f t="shared" si="438"/>
        <v>A</v>
      </c>
      <c r="AC334" s="703" t="str">
        <f t="shared" si="438"/>
        <v>A</v>
      </c>
      <c r="AD334" s="804"/>
      <c r="AE334" s="804"/>
      <c r="AF334" s="791"/>
      <c r="AG334" s="798"/>
      <c r="AH334" s="928"/>
      <c r="AI334" s="732"/>
      <c r="AJ334" s="733"/>
    </row>
    <row r="335" spans="1:52" hidden="1" outlineLevel="1" x14ac:dyDescent="0.25">
      <c r="A335" s="159"/>
      <c r="B335" s="1359"/>
      <c r="C335" s="672" t="str">
        <f>'Optimalizačné opatrenia'!$B$13</f>
        <v>Proaktivita</v>
      </c>
      <c r="D335" s="718" t="str">
        <f t="shared" ref="D335:G335" si="439">D321</f>
        <v>N</v>
      </c>
      <c r="E335" s="703" t="str">
        <f t="shared" si="439"/>
        <v>N</v>
      </c>
      <c r="F335" s="703" t="str">
        <f t="shared" si="439"/>
        <v>N</v>
      </c>
      <c r="G335" s="703" t="str">
        <f t="shared" si="439"/>
        <v>N</v>
      </c>
      <c r="H335" s="703"/>
      <c r="I335" s="703"/>
      <c r="J335" s="703"/>
      <c r="K335" s="703"/>
      <c r="L335" s="703" t="str">
        <f t="shared" ref="L335:N335" si="440">L321</f>
        <v>A</v>
      </c>
      <c r="M335" s="703" t="str">
        <f t="shared" si="440"/>
        <v>N</v>
      </c>
      <c r="N335" s="703" t="str">
        <f t="shared" si="440"/>
        <v>N</v>
      </c>
      <c r="O335" s="703"/>
      <c r="P335" s="703" t="str">
        <f t="shared" ref="P335:AC335" si="441">P321</f>
        <v>N</v>
      </c>
      <c r="Q335" s="703" t="str">
        <f t="shared" si="441"/>
        <v>N</v>
      </c>
      <c r="R335" s="703" t="str">
        <f t="shared" si="441"/>
        <v>A</v>
      </c>
      <c r="S335" s="703" t="str">
        <f t="shared" si="441"/>
        <v>A</v>
      </c>
      <c r="T335" s="703" t="str">
        <f t="shared" si="441"/>
        <v>A</v>
      </c>
      <c r="U335" s="703" t="str">
        <f t="shared" si="441"/>
        <v>N</v>
      </c>
      <c r="V335" s="703" t="str">
        <f t="shared" si="441"/>
        <v>A</v>
      </c>
      <c r="W335" s="703" t="str">
        <f t="shared" si="441"/>
        <v>N</v>
      </c>
      <c r="X335" s="703" t="str">
        <f t="shared" si="441"/>
        <v>N</v>
      </c>
      <c r="Y335" s="703" t="str">
        <f t="shared" si="441"/>
        <v>A</v>
      </c>
      <c r="Z335" s="703" t="str">
        <f t="shared" si="441"/>
        <v>A</v>
      </c>
      <c r="AA335" s="703" t="str">
        <f t="shared" si="441"/>
        <v>A</v>
      </c>
      <c r="AB335" s="703" t="str">
        <f t="shared" si="441"/>
        <v>N</v>
      </c>
      <c r="AC335" s="703" t="str">
        <f t="shared" si="441"/>
        <v>A</v>
      </c>
      <c r="AD335" s="804"/>
      <c r="AE335" s="804"/>
      <c r="AF335" s="791"/>
      <c r="AG335" s="798"/>
      <c r="AH335" s="928"/>
      <c r="AI335" s="732"/>
      <c r="AJ335" s="733"/>
    </row>
    <row r="336" spans="1:52" hidden="1" outlineLevel="1" x14ac:dyDescent="0.25">
      <c r="A336" s="159"/>
      <c r="B336" s="720"/>
      <c r="C336" s="722" t="s">
        <v>538</v>
      </c>
      <c r="D336" s="723">
        <f t="shared" ref="D336:G336" si="442">D322</f>
        <v>0</v>
      </c>
      <c r="E336" s="721">
        <f t="shared" si="442"/>
        <v>0</v>
      </c>
      <c r="F336" s="724">
        <f t="shared" si="442"/>
        <v>0</v>
      </c>
      <c r="G336" s="724">
        <f t="shared" si="442"/>
        <v>0.3</v>
      </c>
      <c r="H336" s="724"/>
      <c r="I336" s="724"/>
      <c r="J336" s="724"/>
      <c r="K336" s="724"/>
      <c r="L336" s="724">
        <f t="shared" ref="L336:N336" si="443">L322</f>
        <v>0.25</v>
      </c>
      <c r="M336" s="724">
        <f t="shared" si="443"/>
        <v>0</v>
      </c>
      <c r="N336" s="724">
        <f t="shared" si="443"/>
        <v>0</v>
      </c>
      <c r="O336" s="724"/>
      <c r="P336" s="724">
        <f t="shared" ref="P336:AC336" si="444">P322</f>
        <v>0.45</v>
      </c>
      <c r="Q336" s="724">
        <f t="shared" si="444"/>
        <v>0.3</v>
      </c>
      <c r="R336" s="724">
        <f t="shared" si="444"/>
        <v>0.4</v>
      </c>
      <c r="S336" s="724">
        <f t="shared" si="444"/>
        <v>0.4</v>
      </c>
      <c r="T336" s="724">
        <f t="shared" si="444"/>
        <v>0.4</v>
      </c>
      <c r="U336" s="724">
        <f t="shared" si="444"/>
        <v>0.3</v>
      </c>
      <c r="V336" s="724">
        <f t="shared" si="444"/>
        <v>0.5</v>
      </c>
      <c r="W336" s="724">
        <f t="shared" si="444"/>
        <v>0.3</v>
      </c>
      <c r="X336" s="724">
        <f t="shared" si="444"/>
        <v>0.3</v>
      </c>
      <c r="Y336" s="724">
        <f t="shared" si="444"/>
        <v>0.4</v>
      </c>
      <c r="Z336" s="724">
        <f t="shared" si="444"/>
        <v>0.4</v>
      </c>
      <c r="AA336" s="724">
        <f t="shared" si="444"/>
        <v>0.5</v>
      </c>
      <c r="AB336" s="724">
        <f t="shared" si="444"/>
        <v>0.3</v>
      </c>
      <c r="AC336" s="724">
        <f t="shared" si="444"/>
        <v>0.4</v>
      </c>
      <c r="AD336" s="805"/>
      <c r="AE336" s="805"/>
      <c r="AF336" s="792"/>
      <c r="AG336" s="799"/>
      <c r="AH336" s="929"/>
      <c r="AI336" s="735"/>
      <c r="AJ336" s="736"/>
    </row>
    <row r="337" spans="1:52" ht="45" collapsed="1" x14ac:dyDescent="0.25">
      <c r="A337" s="159">
        <f ca="1">OFFSET(A337,-14,0)+1</f>
        <v>24</v>
      </c>
      <c r="B337" s="234" t="str">
        <f ca="1">'Procesy - AS IS'!B82</f>
        <v>Meranie č. 24</v>
      </c>
      <c r="C337" s="650" t="str">
        <f>'Procesy - AS IS'!C82</f>
        <v>Marián Imrišek, Ochrana ohrozených druhov, ktoré sú predmetom dohovoru CITES, 38/2019</v>
      </c>
      <c r="D337" s="726">
        <f>-'Procesy - AS IS'!D84*D350</f>
        <v>0</v>
      </c>
      <c r="E337" s="653">
        <f>-'Procesy - AS IS'!E84*E350</f>
        <v>0</v>
      </c>
      <c r="F337" s="653">
        <f>-'Procesy - AS IS'!F84*F350</f>
        <v>0</v>
      </c>
      <c r="G337" s="653">
        <f>-'Procesy - AS IS'!G84*G350</f>
        <v>-1.2</v>
      </c>
      <c r="H337" s="653" t="s">
        <v>555</v>
      </c>
      <c r="I337" s="653" t="s">
        <v>555</v>
      </c>
      <c r="J337" s="653" t="s">
        <v>555</v>
      </c>
      <c r="K337" s="653" t="s">
        <v>555</v>
      </c>
      <c r="L337" s="653">
        <f>-'Procesy - AS IS'!L84*L350</f>
        <v>0</v>
      </c>
      <c r="M337" s="653">
        <f>-'Procesy - AS IS'!M84*M350</f>
        <v>0</v>
      </c>
      <c r="N337" s="653">
        <f>-'Procesy - AS IS'!N84*N350</f>
        <v>0</v>
      </c>
      <c r="O337" s="653" t="s">
        <v>559</v>
      </c>
      <c r="P337" s="653">
        <f>-'Procesy - AS IS'!P84*P350</f>
        <v>-1.35</v>
      </c>
      <c r="Q337" s="653">
        <f>-'Procesy - AS IS'!Q84*Q350</f>
        <v>0</v>
      </c>
      <c r="R337" s="653">
        <f>-'Procesy - AS IS'!R84*R350</f>
        <v>-12.707692307692307</v>
      </c>
      <c r="S337" s="653">
        <f>-'Procesy - AS IS'!S84*S350</f>
        <v>-5.5384615384615392</v>
      </c>
      <c r="T337" s="653">
        <f>-'Procesy - AS IS'!T84*T350</f>
        <v>-2.7230769230769232</v>
      </c>
      <c r="U337" s="653">
        <f>-'Procesy - AS IS'!U84*U350</f>
        <v>-1.0384615384615385</v>
      </c>
      <c r="V337" s="653">
        <f>-'Procesy - AS IS'!V84*V350</f>
        <v>-0.5</v>
      </c>
      <c r="W337" s="653">
        <f>-'Procesy - AS IS'!W84*W350</f>
        <v>-0.11538461538461539</v>
      </c>
      <c r="X337" s="653">
        <f>-'Procesy - AS IS'!X84*X350</f>
        <v>0</v>
      </c>
      <c r="Y337" s="653">
        <f>-'Procesy - AS IS'!Y84*Y350</f>
        <v>-3.692307692307693</v>
      </c>
      <c r="Z337" s="653">
        <f>-'Procesy - AS IS'!Z84*Z350</f>
        <v>-9.6153846153846159E-3</v>
      </c>
      <c r="AA337" s="653">
        <f>-'Procesy - AS IS'!AA84*AA350</f>
        <v>-2.403846153846154E-2</v>
      </c>
      <c r="AB337" s="653">
        <f>-'Procesy - AS IS'!AB84*AB350</f>
        <v>0</v>
      </c>
      <c r="AC337" s="653">
        <f>-'Procesy - AS IS'!AC84*AC350</f>
        <v>0</v>
      </c>
      <c r="AD337" s="754"/>
      <c r="AE337" s="754">
        <f>SUM(D337:AC337)</f>
        <v>-28.899038461538463</v>
      </c>
      <c r="AF337" s="728">
        <f>AE337/'Procesy - AS IS'!AD84</f>
        <v>-0.39279879762138153</v>
      </c>
      <c r="AG337" s="797">
        <f>('Procesy - AS IS'!AG81/(1+$AF337)-'Procesy - AS IS'!AG81)/2</f>
        <v>33.638829100301351</v>
      </c>
      <c r="AH337" s="927">
        <f>('Procesy - AS IS'!AH81/(1+$AF337)-'Procesy - AS IS'!AH81)/2</f>
        <v>19.083566508824809</v>
      </c>
      <c r="AI337" s="730">
        <f>('Procesy - AS IS'!AI81/(1+$AF337)-'Procesy - AS IS'!AI81)/2</f>
        <v>12.938011192423602</v>
      </c>
      <c r="AJ337" s="731">
        <f>('Procesy - AS IS'!AJ81/(1+$AF337)-'Procesy - AS IS'!AJ81)/2</f>
        <v>1.6172513990529502</v>
      </c>
      <c r="AL337" s="232"/>
      <c r="AZ337" s="227"/>
    </row>
    <row r="338" spans="1:52" hidden="1" outlineLevel="1" x14ac:dyDescent="0.25">
      <c r="A338" s="159"/>
      <c r="B338" s="1358" t="s">
        <v>528</v>
      </c>
      <c r="C338" s="667" t="str">
        <f>'Optimalizačné opatrenia'!$B$2</f>
        <v>Modernizácia</v>
      </c>
      <c r="D338" s="673" t="s">
        <v>530</v>
      </c>
      <c r="E338" s="674" t="s">
        <v>530</v>
      </c>
      <c r="F338" s="703" t="s">
        <v>530</v>
      </c>
      <c r="G338" s="703" t="str">
        <f t="shared" ref="G338:G350" si="445">G296</f>
        <v>A</v>
      </c>
      <c r="H338" s="703"/>
      <c r="I338" s="703"/>
      <c r="J338" s="703"/>
      <c r="K338" s="703"/>
      <c r="L338" s="703" t="s">
        <v>530</v>
      </c>
      <c r="M338" s="703" t="s">
        <v>530</v>
      </c>
      <c r="N338" s="703" t="s">
        <v>530</v>
      </c>
      <c r="O338" s="703"/>
      <c r="P338" s="703" t="str">
        <f t="shared" ref="P338:R350" si="446">P296</f>
        <v>A</v>
      </c>
      <c r="Q338" s="703" t="str">
        <f t="shared" si="446"/>
        <v>A</v>
      </c>
      <c r="R338" s="703" t="str">
        <f t="shared" si="446"/>
        <v>A</v>
      </c>
      <c r="S338" s="703" t="str">
        <f t="shared" ref="S338:S350" si="447">R338</f>
        <v>A</v>
      </c>
      <c r="T338" s="703" t="str">
        <f t="shared" ref="T338:T350" si="448">R338</f>
        <v>A</v>
      </c>
      <c r="U338" s="703" t="str">
        <f t="shared" ref="U338:U350" si="449">G338</f>
        <v>A</v>
      </c>
      <c r="V338" s="703" t="str">
        <f t="shared" ref="V338:V350" si="450">V296</f>
        <v>A</v>
      </c>
      <c r="W338" s="703" t="str">
        <f t="shared" ref="W338:W350" si="451">W10</f>
        <v>A</v>
      </c>
      <c r="X338" s="703" t="str">
        <f t="shared" ref="X338:X350" si="452">G338</f>
        <v>A</v>
      </c>
      <c r="Y338" s="703" t="str">
        <f t="shared" ref="Y338:Y350" si="453">R338</f>
        <v>A</v>
      </c>
      <c r="Z338" s="703" t="str">
        <f t="shared" ref="Z338:Z350" si="454">R338</f>
        <v>A</v>
      </c>
      <c r="AA338" s="703" t="str">
        <f t="shared" ref="AA338:AA350" si="455">$V338</f>
        <v>A</v>
      </c>
      <c r="AB338" s="703" t="str">
        <f t="shared" ref="AB338:AB350" si="456">G338</f>
        <v>A</v>
      </c>
      <c r="AC338" s="703" t="str">
        <f t="shared" ref="AC338:AC350" si="457">R338</f>
        <v>A</v>
      </c>
      <c r="AD338" s="804"/>
      <c r="AE338" s="804"/>
      <c r="AF338" s="791"/>
      <c r="AG338" s="798"/>
      <c r="AH338" s="928"/>
      <c r="AI338" s="732"/>
      <c r="AJ338" s="733"/>
    </row>
    <row r="339" spans="1:52" hidden="1" outlineLevel="1" x14ac:dyDescent="0.25">
      <c r="A339" s="159"/>
      <c r="B339" s="1359"/>
      <c r="C339" s="667" t="str">
        <f>'Optimalizačné opatrenia'!$B$3</f>
        <v>Sfunkčnenie</v>
      </c>
      <c r="D339" s="718" t="s">
        <v>530</v>
      </c>
      <c r="E339" s="703" t="s">
        <v>530</v>
      </c>
      <c r="F339" s="703" t="s">
        <v>530</v>
      </c>
      <c r="G339" s="703" t="str">
        <f t="shared" si="445"/>
        <v>N</v>
      </c>
      <c r="H339" s="703"/>
      <c r="I339" s="703"/>
      <c r="J339" s="703"/>
      <c r="K339" s="703"/>
      <c r="L339" s="703" t="s">
        <v>530</v>
      </c>
      <c r="M339" s="703" t="s">
        <v>530</v>
      </c>
      <c r="N339" s="703" t="s">
        <v>530</v>
      </c>
      <c r="O339" s="703"/>
      <c r="P339" s="703" t="str">
        <f t="shared" si="446"/>
        <v>N</v>
      </c>
      <c r="Q339" s="703" t="str">
        <f t="shared" si="446"/>
        <v>N</v>
      </c>
      <c r="R339" s="703" t="str">
        <f t="shared" si="446"/>
        <v>N</v>
      </c>
      <c r="S339" s="703" t="str">
        <f t="shared" si="447"/>
        <v>N</v>
      </c>
      <c r="T339" s="703" t="str">
        <f t="shared" si="448"/>
        <v>N</v>
      </c>
      <c r="U339" s="703" t="str">
        <f t="shared" si="449"/>
        <v>N</v>
      </c>
      <c r="V339" s="703" t="str">
        <f t="shared" si="450"/>
        <v>N</v>
      </c>
      <c r="W339" s="703" t="str">
        <f t="shared" si="451"/>
        <v>N</v>
      </c>
      <c r="X339" s="703" t="str">
        <f t="shared" si="452"/>
        <v>N</v>
      </c>
      <c r="Y339" s="703" t="str">
        <f t="shared" si="453"/>
        <v>N</v>
      </c>
      <c r="Z339" s="703" t="str">
        <f t="shared" si="454"/>
        <v>N</v>
      </c>
      <c r="AA339" s="703" t="str">
        <f t="shared" si="455"/>
        <v>N</v>
      </c>
      <c r="AB339" s="703" t="str">
        <f t="shared" si="456"/>
        <v>N</v>
      </c>
      <c r="AC339" s="703" t="str">
        <f t="shared" si="457"/>
        <v>N</v>
      </c>
      <c r="AD339" s="804"/>
      <c r="AE339" s="804"/>
      <c r="AF339" s="791"/>
      <c r="AG339" s="798"/>
      <c r="AH339" s="928"/>
      <c r="AI339" s="732"/>
      <c r="AJ339" s="733"/>
    </row>
    <row r="340" spans="1:52" hidden="1" outlineLevel="1" x14ac:dyDescent="0.25">
      <c r="A340" s="159"/>
      <c r="B340" s="1359"/>
      <c r="C340" s="667" t="str">
        <f>'Optimalizačné opatrenia'!$B$4</f>
        <v>Zjednotenie</v>
      </c>
      <c r="D340" s="718" t="s">
        <v>530</v>
      </c>
      <c r="E340" s="703" t="s">
        <v>530</v>
      </c>
      <c r="F340" s="703" t="s">
        <v>530</v>
      </c>
      <c r="G340" s="703" t="str">
        <f t="shared" si="445"/>
        <v>A</v>
      </c>
      <c r="H340" s="703"/>
      <c r="I340" s="703"/>
      <c r="J340" s="703"/>
      <c r="K340" s="703"/>
      <c r="L340" s="703" t="s">
        <v>530</v>
      </c>
      <c r="M340" s="703" t="s">
        <v>530</v>
      </c>
      <c r="N340" s="703" t="s">
        <v>530</v>
      </c>
      <c r="O340" s="703"/>
      <c r="P340" s="703" t="str">
        <f t="shared" si="446"/>
        <v>A</v>
      </c>
      <c r="Q340" s="703" t="str">
        <f t="shared" si="446"/>
        <v>A</v>
      </c>
      <c r="R340" s="703" t="str">
        <f t="shared" si="446"/>
        <v>A</v>
      </c>
      <c r="S340" s="703" t="str">
        <f t="shared" si="447"/>
        <v>A</v>
      </c>
      <c r="T340" s="703" t="str">
        <f t="shared" si="448"/>
        <v>A</v>
      </c>
      <c r="U340" s="703" t="str">
        <f t="shared" si="449"/>
        <v>A</v>
      </c>
      <c r="V340" s="703" t="str">
        <f t="shared" si="450"/>
        <v>A</v>
      </c>
      <c r="W340" s="703" t="str">
        <f t="shared" si="451"/>
        <v>A</v>
      </c>
      <c r="X340" s="703" t="str">
        <f t="shared" si="452"/>
        <v>A</v>
      </c>
      <c r="Y340" s="703" t="str">
        <f t="shared" si="453"/>
        <v>A</v>
      </c>
      <c r="Z340" s="703" t="str">
        <f t="shared" si="454"/>
        <v>A</v>
      </c>
      <c r="AA340" s="703" t="str">
        <f t="shared" si="455"/>
        <v>A</v>
      </c>
      <c r="AB340" s="703" t="str">
        <f t="shared" si="456"/>
        <v>A</v>
      </c>
      <c r="AC340" s="703" t="str">
        <f t="shared" si="457"/>
        <v>A</v>
      </c>
      <c r="AD340" s="804"/>
      <c r="AE340" s="804"/>
      <c r="AF340" s="791"/>
      <c r="AG340" s="798"/>
      <c r="AH340" s="928"/>
      <c r="AI340" s="732"/>
      <c r="AJ340" s="733"/>
    </row>
    <row r="341" spans="1:52" hidden="1" outlineLevel="1" x14ac:dyDescent="0.25">
      <c r="A341" s="159"/>
      <c r="B341" s="1359"/>
      <c r="C341" s="667" t="str">
        <f>'Optimalizačné opatrenia'!$B$5</f>
        <v>Centralizácia</v>
      </c>
      <c r="D341" s="718" t="s">
        <v>530</v>
      </c>
      <c r="E341" s="703" t="s">
        <v>530</v>
      </c>
      <c r="F341" s="703" t="s">
        <v>530</v>
      </c>
      <c r="G341" s="703" t="str">
        <f t="shared" si="445"/>
        <v>A</v>
      </c>
      <c r="H341" s="703"/>
      <c r="I341" s="703"/>
      <c r="J341" s="703"/>
      <c r="K341" s="703"/>
      <c r="L341" s="703" t="s">
        <v>530</v>
      </c>
      <c r="M341" s="703" t="s">
        <v>530</v>
      </c>
      <c r="N341" s="703" t="s">
        <v>530</v>
      </c>
      <c r="O341" s="703"/>
      <c r="P341" s="703" t="str">
        <f t="shared" si="446"/>
        <v>A</v>
      </c>
      <c r="Q341" s="703" t="str">
        <f t="shared" si="446"/>
        <v>A</v>
      </c>
      <c r="R341" s="703" t="str">
        <f t="shared" si="446"/>
        <v>A</v>
      </c>
      <c r="S341" s="703" t="str">
        <f t="shared" si="447"/>
        <v>A</v>
      </c>
      <c r="T341" s="703" t="str">
        <f t="shared" si="448"/>
        <v>A</v>
      </c>
      <c r="U341" s="703" t="str">
        <f t="shared" si="449"/>
        <v>A</v>
      </c>
      <c r="V341" s="703" t="str">
        <f t="shared" si="450"/>
        <v>A</v>
      </c>
      <c r="W341" s="703" t="str">
        <f t="shared" si="451"/>
        <v>A</v>
      </c>
      <c r="X341" s="703" t="str">
        <f t="shared" si="452"/>
        <v>A</v>
      </c>
      <c r="Y341" s="703" t="str">
        <f t="shared" si="453"/>
        <v>A</v>
      </c>
      <c r="Z341" s="703" t="str">
        <f t="shared" si="454"/>
        <v>A</v>
      </c>
      <c r="AA341" s="703" t="str">
        <f t="shared" si="455"/>
        <v>A</v>
      </c>
      <c r="AB341" s="703" t="str">
        <f t="shared" si="456"/>
        <v>A</v>
      </c>
      <c r="AC341" s="703" t="str">
        <f t="shared" si="457"/>
        <v>A</v>
      </c>
      <c r="AD341" s="804"/>
      <c r="AE341" s="804"/>
      <c r="AF341" s="791"/>
      <c r="AG341" s="798"/>
      <c r="AH341" s="928"/>
      <c r="AI341" s="732"/>
      <c r="AJ341" s="733"/>
    </row>
    <row r="342" spans="1:52" hidden="1" outlineLevel="1" x14ac:dyDescent="0.25">
      <c r="A342" s="159"/>
      <c r="B342" s="1359"/>
      <c r="C342" s="667" t="str">
        <f>'Optimalizačné opatrenia'!$B$6</f>
        <v>Elektronizácia</v>
      </c>
      <c r="D342" s="718" t="s">
        <v>530</v>
      </c>
      <c r="E342" s="703" t="s">
        <v>530</v>
      </c>
      <c r="F342" s="703" t="s">
        <v>530</v>
      </c>
      <c r="G342" s="703" t="str">
        <f t="shared" si="445"/>
        <v>A</v>
      </c>
      <c r="H342" s="703"/>
      <c r="I342" s="703"/>
      <c r="J342" s="703"/>
      <c r="K342" s="703"/>
      <c r="L342" s="703" t="s">
        <v>530</v>
      </c>
      <c r="M342" s="703" t="s">
        <v>530</v>
      </c>
      <c r="N342" s="703" t="s">
        <v>530</v>
      </c>
      <c r="O342" s="703"/>
      <c r="P342" s="703" t="str">
        <f t="shared" si="446"/>
        <v>A</v>
      </c>
      <c r="Q342" s="703" t="str">
        <f t="shared" si="446"/>
        <v>A</v>
      </c>
      <c r="R342" s="703" t="str">
        <f t="shared" si="446"/>
        <v>A</v>
      </c>
      <c r="S342" s="703" t="str">
        <f t="shared" si="447"/>
        <v>A</v>
      </c>
      <c r="T342" s="703" t="str">
        <f t="shared" si="448"/>
        <v>A</v>
      </c>
      <c r="U342" s="703" t="str">
        <f t="shared" si="449"/>
        <v>A</v>
      </c>
      <c r="V342" s="703" t="str">
        <f t="shared" si="450"/>
        <v>A</v>
      </c>
      <c r="W342" s="703" t="str">
        <f t="shared" si="451"/>
        <v>A</v>
      </c>
      <c r="X342" s="703" t="str">
        <f t="shared" si="452"/>
        <v>A</v>
      </c>
      <c r="Y342" s="703" t="str">
        <f t="shared" si="453"/>
        <v>A</v>
      </c>
      <c r="Z342" s="703" t="str">
        <f t="shared" si="454"/>
        <v>A</v>
      </c>
      <c r="AA342" s="703" t="str">
        <f t="shared" si="455"/>
        <v>A</v>
      </c>
      <c r="AB342" s="703" t="str">
        <f t="shared" si="456"/>
        <v>A</v>
      </c>
      <c r="AC342" s="703" t="str">
        <f t="shared" si="457"/>
        <v>A</v>
      </c>
      <c r="AD342" s="804"/>
      <c r="AE342" s="804"/>
      <c r="AF342" s="791"/>
      <c r="AG342" s="798"/>
      <c r="AH342" s="928"/>
      <c r="AI342" s="732"/>
      <c r="AJ342" s="733"/>
    </row>
    <row r="343" spans="1:52" hidden="1" outlineLevel="1" x14ac:dyDescent="0.25">
      <c r="A343" s="159"/>
      <c r="B343" s="1359"/>
      <c r="C343" s="667" t="str">
        <f>'Optimalizačné opatrenia'!$B$7</f>
        <v>Automatizácia</v>
      </c>
      <c r="D343" s="718" t="s">
        <v>530</v>
      </c>
      <c r="E343" s="703" t="s">
        <v>530</v>
      </c>
      <c r="F343" s="703" t="s">
        <v>530</v>
      </c>
      <c r="G343" s="703" t="str">
        <f t="shared" si="445"/>
        <v>A</v>
      </c>
      <c r="H343" s="703"/>
      <c r="I343" s="703"/>
      <c r="J343" s="703"/>
      <c r="K343" s="703"/>
      <c r="L343" s="703" t="s">
        <v>530</v>
      </c>
      <c r="M343" s="703" t="s">
        <v>530</v>
      </c>
      <c r="N343" s="703" t="s">
        <v>530</v>
      </c>
      <c r="O343" s="703"/>
      <c r="P343" s="703" t="str">
        <f t="shared" si="446"/>
        <v>A</v>
      </c>
      <c r="Q343" s="703" t="str">
        <f t="shared" si="446"/>
        <v>A</v>
      </c>
      <c r="R343" s="703" t="str">
        <f t="shared" si="446"/>
        <v>A</v>
      </c>
      <c r="S343" s="703" t="str">
        <f t="shared" si="447"/>
        <v>A</v>
      </c>
      <c r="T343" s="703" t="str">
        <f t="shared" si="448"/>
        <v>A</v>
      </c>
      <c r="U343" s="703" t="str">
        <f t="shared" si="449"/>
        <v>A</v>
      </c>
      <c r="V343" s="703" t="str">
        <f t="shared" si="450"/>
        <v>A</v>
      </c>
      <c r="W343" s="703" t="str">
        <f t="shared" si="451"/>
        <v>A</v>
      </c>
      <c r="X343" s="703" t="str">
        <f t="shared" si="452"/>
        <v>A</v>
      </c>
      <c r="Y343" s="703" t="str">
        <f t="shared" si="453"/>
        <v>A</v>
      </c>
      <c r="Z343" s="703" t="str">
        <f t="shared" si="454"/>
        <v>A</v>
      </c>
      <c r="AA343" s="703" t="str">
        <f t="shared" si="455"/>
        <v>A</v>
      </c>
      <c r="AB343" s="703" t="str">
        <f t="shared" si="456"/>
        <v>A</v>
      </c>
      <c r="AC343" s="703" t="str">
        <f t="shared" si="457"/>
        <v>A</v>
      </c>
      <c r="AD343" s="804"/>
      <c r="AE343" s="804"/>
      <c r="AF343" s="791"/>
      <c r="AG343" s="798"/>
      <c r="AH343" s="928"/>
      <c r="AI343" s="732"/>
      <c r="AJ343" s="733"/>
    </row>
    <row r="344" spans="1:52" hidden="1" outlineLevel="1" x14ac:dyDescent="0.25">
      <c r="A344" s="159"/>
      <c r="B344" s="1359"/>
      <c r="C344" s="667" t="str">
        <f>'Optimalizačné opatrenia'!$B$8</f>
        <v>Bezpečnosť</v>
      </c>
      <c r="D344" s="718" t="s">
        <v>530</v>
      </c>
      <c r="E344" s="703" t="s">
        <v>530</v>
      </c>
      <c r="F344" s="703" t="s">
        <v>530</v>
      </c>
      <c r="G344" s="703" t="str">
        <f t="shared" si="445"/>
        <v>A</v>
      </c>
      <c r="H344" s="703"/>
      <c r="I344" s="703"/>
      <c r="J344" s="703"/>
      <c r="K344" s="703"/>
      <c r="L344" s="703" t="s">
        <v>530</v>
      </c>
      <c r="M344" s="703" t="s">
        <v>530</v>
      </c>
      <c r="N344" s="703" t="s">
        <v>530</v>
      </c>
      <c r="O344" s="703"/>
      <c r="P344" s="703" t="str">
        <f t="shared" si="446"/>
        <v>A</v>
      </c>
      <c r="Q344" s="703" t="str">
        <f t="shared" si="446"/>
        <v>A</v>
      </c>
      <c r="R344" s="703" t="str">
        <f t="shared" si="446"/>
        <v>A</v>
      </c>
      <c r="S344" s="703" t="str">
        <f t="shared" si="447"/>
        <v>A</v>
      </c>
      <c r="T344" s="703" t="str">
        <f t="shared" si="448"/>
        <v>A</v>
      </c>
      <c r="U344" s="703" t="str">
        <f t="shared" si="449"/>
        <v>A</v>
      </c>
      <c r="V344" s="703" t="str">
        <f t="shared" si="450"/>
        <v>A</v>
      </c>
      <c r="W344" s="703" t="str">
        <f t="shared" si="451"/>
        <v>A</v>
      </c>
      <c r="X344" s="703" t="str">
        <f t="shared" si="452"/>
        <v>A</v>
      </c>
      <c r="Y344" s="703" t="str">
        <f t="shared" si="453"/>
        <v>A</v>
      </c>
      <c r="Z344" s="703" t="str">
        <f t="shared" si="454"/>
        <v>A</v>
      </c>
      <c r="AA344" s="703" t="str">
        <f t="shared" si="455"/>
        <v>A</v>
      </c>
      <c r="AB344" s="703" t="str">
        <f t="shared" si="456"/>
        <v>A</v>
      </c>
      <c r="AC344" s="703" t="str">
        <f t="shared" si="457"/>
        <v>A</v>
      </c>
      <c r="AD344" s="804"/>
      <c r="AE344" s="804"/>
      <c r="AF344" s="791"/>
      <c r="AG344" s="798"/>
      <c r="AH344" s="928"/>
      <c r="AI344" s="732"/>
      <c r="AJ344" s="733"/>
    </row>
    <row r="345" spans="1:52" hidden="1" outlineLevel="1" x14ac:dyDescent="0.25">
      <c r="A345" s="159"/>
      <c r="B345" s="1359"/>
      <c r="C345" s="667" t="str">
        <f>'Optimalizačné opatrenia'!$B$9</f>
        <v>Auditovateľnosť</v>
      </c>
      <c r="D345" s="718" t="s">
        <v>530</v>
      </c>
      <c r="E345" s="703" t="s">
        <v>530</v>
      </c>
      <c r="F345" s="703" t="s">
        <v>530</v>
      </c>
      <c r="G345" s="703" t="str">
        <f t="shared" si="445"/>
        <v>A</v>
      </c>
      <c r="H345" s="703"/>
      <c r="I345" s="703"/>
      <c r="J345" s="703"/>
      <c r="K345" s="703"/>
      <c r="L345" s="703" t="s">
        <v>530</v>
      </c>
      <c r="M345" s="703" t="s">
        <v>530</v>
      </c>
      <c r="N345" s="703" t="s">
        <v>530</v>
      </c>
      <c r="O345" s="703"/>
      <c r="P345" s="703" t="str">
        <f t="shared" si="446"/>
        <v>A</v>
      </c>
      <c r="Q345" s="703" t="str">
        <f t="shared" si="446"/>
        <v>A</v>
      </c>
      <c r="R345" s="703" t="str">
        <f t="shared" si="446"/>
        <v>A</v>
      </c>
      <c r="S345" s="703" t="str">
        <f t="shared" si="447"/>
        <v>A</v>
      </c>
      <c r="T345" s="703" t="str">
        <f t="shared" si="448"/>
        <v>A</v>
      </c>
      <c r="U345" s="703" t="str">
        <f t="shared" si="449"/>
        <v>A</v>
      </c>
      <c r="V345" s="703" t="str">
        <f t="shared" si="450"/>
        <v>A</v>
      </c>
      <c r="W345" s="703" t="str">
        <f t="shared" si="451"/>
        <v>A</v>
      </c>
      <c r="X345" s="703" t="str">
        <f t="shared" si="452"/>
        <v>A</v>
      </c>
      <c r="Y345" s="703" t="str">
        <f t="shared" si="453"/>
        <v>A</v>
      </c>
      <c r="Z345" s="703" t="str">
        <f t="shared" si="454"/>
        <v>A</v>
      </c>
      <c r="AA345" s="703" t="str">
        <f t="shared" si="455"/>
        <v>A</v>
      </c>
      <c r="AB345" s="703" t="str">
        <f t="shared" si="456"/>
        <v>A</v>
      </c>
      <c r="AC345" s="703" t="str">
        <f t="shared" si="457"/>
        <v>A</v>
      </c>
      <c r="AD345" s="804"/>
      <c r="AE345" s="804"/>
      <c r="AF345" s="791"/>
      <c r="AG345" s="798"/>
      <c r="AH345" s="928"/>
      <c r="AI345" s="732"/>
      <c r="AJ345" s="733"/>
    </row>
    <row r="346" spans="1:52" hidden="1" outlineLevel="1" x14ac:dyDescent="0.25">
      <c r="A346" s="159"/>
      <c r="B346" s="1359"/>
      <c r="C346" s="667" t="str">
        <f>'Optimalizačné opatrenia'!$B$10</f>
        <v>Transparentnosť</v>
      </c>
      <c r="D346" s="718" t="s">
        <v>530</v>
      </c>
      <c r="E346" s="703" t="s">
        <v>530</v>
      </c>
      <c r="F346" s="703" t="s">
        <v>530</v>
      </c>
      <c r="G346" s="703" t="str">
        <f t="shared" si="445"/>
        <v>N</v>
      </c>
      <c r="H346" s="703"/>
      <c r="I346" s="703"/>
      <c r="J346" s="703"/>
      <c r="K346" s="703"/>
      <c r="L346" s="703" t="s">
        <v>530</v>
      </c>
      <c r="M346" s="703" t="s">
        <v>530</v>
      </c>
      <c r="N346" s="703" t="s">
        <v>530</v>
      </c>
      <c r="O346" s="703"/>
      <c r="P346" s="703" t="str">
        <f t="shared" si="446"/>
        <v>A</v>
      </c>
      <c r="Q346" s="703" t="str">
        <f t="shared" si="446"/>
        <v>N</v>
      </c>
      <c r="R346" s="703" t="str">
        <f t="shared" si="446"/>
        <v>N</v>
      </c>
      <c r="S346" s="703" t="str">
        <f t="shared" si="447"/>
        <v>N</v>
      </c>
      <c r="T346" s="703" t="str">
        <f t="shared" si="448"/>
        <v>N</v>
      </c>
      <c r="U346" s="703" t="str">
        <f t="shared" si="449"/>
        <v>N</v>
      </c>
      <c r="V346" s="703" t="str">
        <f t="shared" si="450"/>
        <v>A</v>
      </c>
      <c r="W346" s="703" t="str">
        <f t="shared" si="451"/>
        <v>N</v>
      </c>
      <c r="X346" s="703" t="str">
        <f t="shared" si="452"/>
        <v>N</v>
      </c>
      <c r="Y346" s="703" t="str">
        <f t="shared" si="453"/>
        <v>N</v>
      </c>
      <c r="Z346" s="703" t="str">
        <f t="shared" si="454"/>
        <v>N</v>
      </c>
      <c r="AA346" s="703" t="str">
        <f t="shared" si="455"/>
        <v>A</v>
      </c>
      <c r="AB346" s="703" t="str">
        <f t="shared" si="456"/>
        <v>N</v>
      </c>
      <c r="AC346" s="703" t="str">
        <f t="shared" si="457"/>
        <v>N</v>
      </c>
      <c r="AD346" s="804"/>
      <c r="AE346" s="804"/>
      <c r="AF346" s="791"/>
      <c r="AG346" s="798"/>
      <c r="AH346" s="928"/>
      <c r="AI346" s="732"/>
      <c r="AJ346" s="733"/>
    </row>
    <row r="347" spans="1:52" hidden="1" outlineLevel="1" x14ac:dyDescent="0.25">
      <c r="A347" s="159"/>
      <c r="B347" s="1359"/>
      <c r="C347" s="667" t="str">
        <f>'Optimalizačné opatrenia'!$B$11</f>
        <v>Analyzovatelnosť</v>
      </c>
      <c r="D347" s="718" t="s">
        <v>530</v>
      </c>
      <c r="E347" s="703" t="s">
        <v>530</v>
      </c>
      <c r="F347" s="703" t="s">
        <v>530</v>
      </c>
      <c r="G347" s="703" t="str">
        <f t="shared" si="445"/>
        <v>A</v>
      </c>
      <c r="H347" s="703"/>
      <c r="I347" s="703"/>
      <c r="J347" s="703"/>
      <c r="K347" s="703"/>
      <c r="L347" s="703" t="s">
        <v>530</v>
      </c>
      <c r="M347" s="703" t="s">
        <v>530</v>
      </c>
      <c r="N347" s="703" t="s">
        <v>530</v>
      </c>
      <c r="O347" s="703"/>
      <c r="P347" s="703" t="str">
        <f t="shared" si="446"/>
        <v>A</v>
      </c>
      <c r="Q347" s="703" t="str">
        <f t="shared" si="446"/>
        <v>A</v>
      </c>
      <c r="R347" s="703" t="str">
        <f t="shared" si="446"/>
        <v>A</v>
      </c>
      <c r="S347" s="703" t="str">
        <f t="shared" si="447"/>
        <v>A</v>
      </c>
      <c r="T347" s="703" t="str">
        <f t="shared" si="448"/>
        <v>A</v>
      </c>
      <c r="U347" s="703" t="str">
        <f t="shared" si="449"/>
        <v>A</v>
      </c>
      <c r="V347" s="703" t="str">
        <f t="shared" si="450"/>
        <v>A</v>
      </c>
      <c r="W347" s="703" t="str">
        <f t="shared" si="451"/>
        <v>A</v>
      </c>
      <c r="X347" s="703" t="str">
        <f t="shared" si="452"/>
        <v>A</v>
      </c>
      <c r="Y347" s="703" t="str">
        <f t="shared" si="453"/>
        <v>A</v>
      </c>
      <c r="Z347" s="703" t="str">
        <f t="shared" si="454"/>
        <v>A</v>
      </c>
      <c r="AA347" s="703" t="str">
        <f t="shared" si="455"/>
        <v>A</v>
      </c>
      <c r="AB347" s="703" t="str">
        <f t="shared" si="456"/>
        <v>A</v>
      </c>
      <c r="AC347" s="703" t="str">
        <f t="shared" si="457"/>
        <v>A</v>
      </c>
      <c r="AD347" s="804"/>
      <c r="AE347" s="804"/>
      <c r="AF347" s="791"/>
      <c r="AG347" s="798"/>
      <c r="AH347" s="928"/>
      <c r="AI347" s="732"/>
      <c r="AJ347" s="733"/>
    </row>
    <row r="348" spans="1:52" hidden="1" outlineLevel="1" x14ac:dyDescent="0.25">
      <c r="A348" s="159"/>
      <c r="B348" s="1359"/>
      <c r="C348" s="667" t="str">
        <f>'Optimalizačné opatrenia'!$B$12</f>
        <v>Integrácia</v>
      </c>
      <c r="D348" s="718" t="s">
        <v>530</v>
      </c>
      <c r="E348" s="703" t="s">
        <v>530</v>
      </c>
      <c r="F348" s="703" t="s">
        <v>530</v>
      </c>
      <c r="G348" s="703" t="str">
        <f t="shared" si="445"/>
        <v>A</v>
      </c>
      <c r="H348" s="703"/>
      <c r="I348" s="703"/>
      <c r="J348" s="703"/>
      <c r="K348" s="703"/>
      <c r="L348" s="703" t="s">
        <v>530</v>
      </c>
      <c r="M348" s="703" t="s">
        <v>530</v>
      </c>
      <c r="N348" s="703" t="s">
        <v>530</v>
      </c>
      <c r="O348" s="703"/>
      <c r="P348" s="703" t="str">
        <f t="shared" si="446"/>
        <v>A</v>
      </c>
      <c r="Q348" s="703" t="str">
        <f t="shared" si="446"/>
        <v>A</v>
      </c>
      <c r="R348" s="703" t="str">
        <f t="shared" si="446"/>
        <v>A</v>
      </c>
      <c r="S348" s="703" t="str">
        <f t="shared" si="447"/>
        <v>A</v>
      </c>
      <c r="T348" s="703" t="str">
        <f t="shared" si="448"/>
        <v>A</v>
      </c>
      <c r="U348" s="703" t="str">
        <f t="shared" si="449"/>
        <v>A</v>
      </c>
      <c r="V348" s="703" t="str">
        <f t="shared" si="450"/>
        <v>A</v>
      </c>
      <c r="W348" s="703" t="str">
        <f t="shared" si="451"/>
        <v>A</v>
      </c>
      <c r="X348" s="703" t="str">
        <f t="shared" si="452"/>
        <v>A</v>
      </c>
      <c r="Y348" s="703" t="str">
        <f t="shared" si="453"/>
        <v>A</v>
      </c>
      <c r="Z348" s="703" t="str">
        <f t="shared" si="454"/>
        <v>A</v>
      </c>
      <c r="AA348" s="703" t="str">
        <f t="shared" si="455"/>
        <v>A</v>
      </c>
      <c r="AB348" s="703" t="str">
        <f t="shared" si="456"/>
        <v>A</v>
      </c>
      <c r="AC348" s="703" t="str">
        <f t="shared" si="457"/>
        <v>A</v>
      </c>
      <c r="AD348" s="804"/>
      <c r="AE348" s="804"/>
      <c r="AF348" s="791"/>
      <c r="AG348" s="798"/>
      <c r="AH348" s="928"/>
      <c r="AI348" s="732"/>
      <c r="AJ348" s="733"/>
    </row>
    <row r="349" spans="1:52" hidden="1" outlineLevel="1" x14ac:dyDescent="0.25">
      <c r="A349" s="159"/>
      <c r="B349" s="1359"/>
      <c r="C349" s="672" t="str">
        <f>'Optimalizačné opatrenia'!$B$13</f>
        <v>Proaktivita</v>
      </c>
      <c r="D349" s="718" t="s">
        <v>530</v>
      </c>
      <c r="E349" s="703" t="s">
        <v>530</v>
      </c>
      <c r="F349" s="703" t="s">
        <v>530</v>
      </c>
      <c r="G349" s="703" t="str">
        <f t="shared" si="445"/>
        <v>N</v>
      </c>
      <c r="H349" s="703"/>
      <c r="I349" s="703"/>
      <c r="J349" s="703"/>
      <c r="K349" s="703"/>
      <c r="L349" s="703" t="s">
        <v>530</v>
      </c>
      <c r="M349" s="703" t="s">
        <v>530</v>
      </c>
      <c r="N349" s="703" t="s">
        <v>530</v>
      </c>
      <c r="O349" s="703"/>
      <c r="P349" s="703" t="str">
        <f t="shared" si="446"/>
        <v>N</v>
      </c>
      <c r="Q349" s="703" t="str">
        <f t="shared" si="446"/>
        <v>N</v>
      </c>
      <c r="R349" s="703" t="str">
        <f t="shared" si="446"/>
        <v>A</v>
      </c>
      <c r="S349" s="703" t="str">
        <f t="shared" si="447"/>
        <v>A</v>
      </c>
      <c r="T349" s="703" t="str">
        <f t="shared" si="448"/>
        <v>A</v>
      </c>
      <c r="U349" s="703" t="str">
        <f t="shared" si="449"/>
        <v>N</v>
      </c>
      <c r="V349" s="703" t="str">
        <f t="shared" si="450"/>
        <v>A</v>
      </c>
      <c r="W349" s="703" t="str">
        <f t="shared" si="451"/>
        <v>N</v>
      </c>
      <c r="X349" s="703" t="str">
        <f t="shared" si="452"/>
        <v>N</v>
      </c>
      <c r="Y349" s="703" t="str">
        <f t="shared" si="453"/>
        <v>A</v>
      </c>
      <c r="Z349" s="703" t="str">
        <f t="shared" si="454"/>
        <v>A</v>
      </c>
      <c r="AA349" s="703" t="str">
        <f t="shared" si="455"/>
        <v>A</v>
      </c>
      <c r="AB349" s="703" t="str">
        <f t="shared" si="456"/>
        <v>N</v>
      </c>
      <c r="AC349" s="703" t="str">
        <f t="shared" si="457"/>
        <v>A</v>
      </c>
      <c r="AD349" s="804"/>
      <c r="AE349" s="804"/>
      <c r="AF349" s="791"/>
      <c r="AG349" s="798"/>
      <c r="AH349" s="928"/>
      <c r="AI349" s="732"/>
      <c r="AJ349" s="733"/>
    </row>
    <row r="350" spans="1:52" hidden="1" outlineLevel="1" x14ac:dyDescent="0.25">
      <c r="A350" s="159"/>
      <c r="B350" s="720"/>
      <c r="C350" s="722" t="s">
        <v>538</v>
      </c>
      <c r="D350" s="723">
        <v>0</v>
      </c>
      <c r="E350" s="721">
        <v>0</v>
      </c>
      <c r="F350" s="724">
        <v>0</v>
      </c>
      <c r="G350" s="724">
        <f t="shared" si="445"/>
        <v>0.3</v>
      </c>
      <c r="H350" s="724"/>
      <c r="I350" s="724"/>
      <c r="J350" s="724"/>
      <c r="K350" s="724"/>
      <c r="L350" s="724">
        <v>0</v>
      </c>
      <c r="M350" s="724">
        <v>0</v>
      </c>
      <c r="N350" s="724">
        <v>0</v>
      </c>
      <c r="O350" s="724"/>
      <c r="P350" s="724">
        <f t="shared" si="446"/>
        <v>0.45</v>
      </c>
      <c r="Q350" s="724">
        <f t="shared" si="446"/>
        <v>0.3</v>
      </c>
      <c r="R350" s="724">
        <f t="shared" si="446"/>
        <v>0.4</v>
      </c>
      <c r="S350" s="724">
        <f t="shared" si="447"/>
        <v>0.4</v>
      </c>
      <c r="T350" s="724">
        <f t="shared" si="448"/>
        <v>0.4</v>
      </c>
      <c r="U350" s="724">
        <f t="shared" si="449"/>
        <v>0.3</v>
      </c>
      <c r="V350" s="724">
        <f t="shared" si="450"/>
        <v>0.5</v>
      </c>
      <c r="W350" s="724">
        <f t="shared" si="451"/>
        <v>0.3</v>
      </c>
      <c r="X350" s="724">
        <f t="shared" si="452"/>
        <v>0.3</v>
      </c>
      <c r="Y350" s="724">
        <f t="shared" si="453"/>
        <v>0.4</v>
      </c>
      <c r="Z350" s="724">
        <f t="shared" si="454"/>
        <v>0.4</v>
      </c>
      <c r="AA350" s="724">
        <f t="shared" si="455"/>
        <v>0.5</v>
      </c>
      <c r="AB350" s="724">
        <f t="shared" si="456"/>
        <v>0.3</v>
      </c>
      <c r="AC350" s="724">
        <f t="shared" si="457"/>
        <v>0.4</v>
      </c>
      <c r="AD350" s="805"/>
      <c r="AE350" s="805"/>
      <c r="AF350" s="792"/>
      <c r="AG350" s="799"/>
      <c r="AH350" s="929"/>
      <c r="AI350" s="735"/>
      <c r="AJ350" s="736"/>
    </row>
    <row r="351" spans="1:52" ht="15.75" collapsed="1" thickBot="1" x14ac:dyDescent="0.3">
      <c r="A351" s="159"/>
      <c r="B351" s="741"/>
      <c r="C351" s="742" t="s">
        <v>588</v>
      </c>
      <c r="D351" s="743"/>
      <c r="E351" s="743"/>
      <c r="F351" s="743"/>
      <c r="G351" s="744"/>
      <c r="H351" s="744"/>
      <c r="I351" s="744"/>
      <c r="J351" s="744"/>
      <c r="K351" s="744"/>
      <c r="L351" s="744"/>
      <c r="M351" s="744"/>
      <c r="N351" s="744"/>
      <c r="O351" s="744"/>
      <c r="P351" s="744"/>
      <c r="Q351" s="744"/>
      <c r="R351" s="744"/>
      <c r="S351" s="744"/>
      <c r="T351" s="744"/>
      <c r="U351" s="744"/>
      <c r="V351" s="744"/>
      <c r="W351" s="744"/>
      <c r="X351" s="744"/>
      <c r="Y351" s="744"/>
      <c r="Z351" s="744"/>
      <c r="AA351" s="744"/>
      <c r="AB351" s="744"/>
      <c r="AC351" s="744"/>
      <c r="AD351" s="751"/>
      <c r="AE351" s="751"/>
      <c r="AF351" s="793"/>
      <c r="AG351" s="800">
        <f>'Procesy - AS IS'!AG85/(1+$AF294)-'Procesy - AS IS'!AG85</f>
        <v>0</v>
      </c>
      <c r="AH351" s="930">
        <f>'Procesy - AS IS'!AH85/(1+$AF294)-'Procesy - AS IS'!AH85</f>
        <v>0</v>
      </c>
      <c r="AI351" s="746">
        <f>'Procesy - AS IS'!AI85/(1+$AF294)-'Procesy - AS IS'!AI85</f>
        <v>0</v>
      </c>
      <c r="AJ351" s="747">
        <f>'Procesy - AS IS'!AJ85/(1+$AF294)-'Procesy - AS IS'!AJ85</f>
        <v>0</v>
      </c>
    </row>
    <row r="352" spans="1:52" x14ac:dyDescent="0.25">
      <c r="A352" s="159"/>
      <c r="B352" s="657" t="str">
        <f>'Procesy - AS IS'!B86</f>
        <v>Zdroj 5</v>
      </c>
      <c r="C352" s="658" t="str">
        <f>'Procesy - AS IS'!C86</f>
        <v>Inšpekcia biologickej bezpečnosti</v>
      </c>
      <c r="D352" s="726">
        <f>D353*$AG353/($AG352-$AG423)+D367*$AG367/($AG352-$AG423)+D381*$AG381/($AG352-$AG423)+D395*$AG395/($AG352-$AG423)+D409*$AG409/($AG352-$AG423)</f>
        <v>0</v>
      </c>
      <c r="E352" s="651">
        <f>E353*$AG353/($AG352-$AG423)+E367*$AG367/($AG352-$AG423)+E381*$AG381/($AG352-$AG423)+E395*$AG395/($AG352-$AG423)+E409*$AG409/($AG352-$AG423)</f>
        <v>-1.9161652542844831</v>
      </c>
      <c r="F352" s="651">
        <f>F353*$AG353/($AG352-$AG423)+F367*$AG367/($AG352-$AG423)+F381*$AG381/($AG352-$AG423)+F395*$AG395/($AG352-$AG423)+F409*$AG409/($AG352-$AG423)</f>
        <v>-2.3062968135418478</v>
      </c>
      <c r="G352" s="661">
        <f>G353*$AG353/($AG352-$AG423)+G367*$AG367/($AG352-$AG423)+G381*$AG381/($AG352-$AG423)+G395*$AG395/($AG352-$AG423)+G409*$AG409/($AG352-$AG423)</f>
        <v>-1.966608990758417</v>
      </c>
      <c r="H352" s="654"/>
      <c r="I352" s="654"/>
      <c r="J352" s="654"/>
      <c r="K352" s="654"/>
      <c r="L352" s="661">
        <f>L353*$AG353/($AG352-$AG423)+L367*$AG367/($AG352-$AG423)+L381*$AG381/($AG352-$AG423)+L395*$AG395/($AG352-$AG423)+L409*$AG409/($AG352-$AG423)</f>
        <v>-1.540719014821659</v>
      </c>
      <c r="M352" s="661">
        <f>M353*$AG353/($AG352-$AG423)+M367*$AG367/($AG352-$AG423)+M381*$AG381/($AG352-$AG423)+M395*$AG395/($AG352-$AG423)+M409*$AG409/($AG352-$AG423)</f>
        <v>0</v>
      </c>
      <c r="N352" s="651"/>
      <c r="O352" s="651"/>
      <c r="P352" s="651">
        <f t="shared" ref="P352:AC352" si="458">P353*$AG353/($AG352-$AG423)+P367*$AG367/($AG352-$AG423)+P381*$AG381/($AG352-$AG423)+P395*$AG395/($AG352-$AG423)+P409*$AG409/($AG352-$AG423)</f>
        <v>-2.1762318498297049</v>
      </c>
      <c r="Q352" s="651">
        <f t="shared" si="458"/>
        <v>0</v>
      </c>
      <c r="R352" s="651">
        <f t="shared" si="458"/>
        <v>-0.33666918484966019</v>
      </c>
      <c r="S352" s="651">
        <f t="shared" si="458"/>
        <v>-3.3456774521419588</v>
      </c>
      <c r="T352" s="651">
        <f t="shared" si="458"/>
        <v>-0.16833459242483009</v>
      </c>
      <c r="U352" s="651">
        <f t="shared" si="458"/>
        <v>-0.60579719158382939</v>
      </c>
      <c r="V352" s="651">
        <f t="shared" si="458"/>
        <v>-1.9060483521798153</v>
      </c>
      <c r="W352" s="651">
        <f t="shared" si="458"/>
        <v>0</v>
      </c>
      <c r="X352" s="651">
        <f t="shared" si="458"/>
        <v>0</v>
      </c>
      <c r="Y352" s="651">
        <f t="shared" si="458"/>
        <v>0</v>
      </c>
      <c r="Z352" s="651">
        <f t="shared" si="458"/>
        <v>0</v>
      </c>
      <c r="AA352" s="651">
        <f t="shared" si="458"/>
        <v>0</v>
      </c>
      <c r="AB352" s="651">
        <f t="shared" si="458"/>
        <v>0</v>
      </c>
      <c r="AC352" s="652">
        <f t="shared" si="458"/>
        <v>0</v>
      </c>
      <c r="AD352" s="752"/>
      <c r="AE352" s="752">
        <f>SUM(AE353:AE422)</f>
        <v>-89.268867623604464</v>
      </c>
      <c r="AF352" s="790">
        <f>-SUM(AG353:AG422)/('Procesy - AS IS'!AG86+SUM(AG353:AG422))</f>
        <v>-0.35010342752191226</v>
      </c>
      <c r="AG352" s="801">
        <f>SUM(AG353:AG423)</f>
        <v>94.273615850467337</v>
      </c>
      <c r="AH352" s="931">
        <f>SUM(AH353:AH423)</f>
        <v>9.5322359518535951</v>
      </c>
      <c r="AI352" s="730">
        <f>SUM(AI353:AI423)</f>
        <v>0</v>
      </c>
      <c r="AJ352" s="738">
        <f>SUM(AJ353:AJ423)</f>
        <v>0</v>
      </c>
      <c r="AL352" s="232"/>
      <c r="AM352"/>
      <c r="AZ352" s="227"/>
    </row>
    <row r="353" spans="1:52" ht="31.35" customHeight="1" x14ac:dyDescent="0.25">
      <c r="A353" s="159">
        <f ca="1">OFFSET(A353,-16,0)+1</f>
        <v>25</v>
      </c>
      <c r="B353" s="668" t="str">
        <f ca="1">'Procesy - AS IS'!B87</f>
        <v>Meranie č. 25</v>
      </c>
      <c r="C353" s="671" t="str">
        <f>'Procesy - AS IS'!C87</f>
        <v>PF UK, Kontrola uzavretých priestorov, 3651/2018</v>
      </c>
      <c r="D353" s="726">
        <f>-'Procesy - AS IS'!D89*D366</f>
        <v>0</v>
      </c>
      <c r="E353" s="653">
        <f>-'Procesy - AS IS'!E89*E366</f>
        <v>-8</v>
      </c>
      <c r="F353" s="653">
        <f>-'Procesy - AS IS'!F89*F366</f>
        <v>-1</v>
      </c>
      <c r="G353" s="653">
        <f>-'Procesy - AS IS'!G89*G366</f>
        <v>-4.8</v>
      </c>
      <c r="H353" s="653" t="s">
        <v>555</v>
      </c>
      <c r="I353" s="653" t="s">
        <v>555</v>
      </c>
      <c r="J353" s="653" t="s">
        <v>555</v>
      </c>
      <c r="K353" s="653" t="s">
        <v>555</v>
      </c>
      <c r="L353" s="653">
        <f>-'Procesy - AS IS'!L89*L366</f>
        <v>-0.4</v>
      </c>
      <c r="M353" s="653">
        <f>-'Procesy - AS IS'!M89*M366</f>
        <v>0</v>
      </c>
      <c r="N353" s="653" t="s">
        <v>557</v>
      </c>
      <c r="O353" s="653" t="s">
        <v>559</v>
      </c>
      <c r="P353" s="653">
        <f>-'Procesy - AS IS'!P89*P366</f>
        <v>-3.6</v>
      </c>
      <c r="Q353" s="653">
        <f>-'Procesy - AS IS'!Q89*Q366</f>
        <v>0</v>
      </c>
      <c r="R353" s="653">
        <f>-'Procesy - AS IS'!R89*R366</f>
        <v>-0.5818181818181819</v>
      </c>
      <c r="S353" s="653">
        <f>-'Procesy - AS IS'!S89*S366</f>
        <v>-5.8181818181818183</v>
      </c>
      <c r="T353" s="653">
        <f>-'Procesy - AS IS'!T89*T366</f>
        <v>-0.29090909090909095</v>
      </c>
      <c r="U353" s="653">
        <f>-'Procesy - AS IS'!U89*U366</f>
        <v>-2.1818181818181817</v>
      </c>
      <c r="V353" s="653">
        <f>-'Procesy - AS IS'!V89*V366</f>
        <v>-0.25</v>
      </c>
      <c r="W353" s="653">
        <f>-'Procesy - AS IS'!W89*W366</f>
        <v>0</v>
      </c>
      <c r="X353" s="653">
        <f>-'Procesy - AS IS'!X89*X366</f>
        <v>0</v>
      </c>
      <c r="Y353" s="653">
        <f>-'Procesy - AS IS'!Y89*Y366</f>
        <v>0</v>
      </c>
      <c r="Z353" s="653">
        <f>-'Procesy - AS IS'!Z89*Z366</f>
        <v>0</v>
      </c>
      <c r="AA353" s="653">
        <f>-'Procesy - AS IS'!AA89*AA366</f>
        <v>0</v>
      </c>
      <c r="AB353" s="653">
        <f>-'Procesy - AS IS'!AB89*AB366</f>
        <v>0</v>
      </c>
      <c r="AC353" s="653">
        <f>-'Procesy - AS IS'!AC89*AC366</f>
        <v>0</v>
      </c>
      <c r="AD353" s="754"/>
      <c r="AE353" s="754">
        <f>SUM(D353:AC353)</f>
        <v>-26.922727272727272</v>
      </c>
      <c r="AF353" s="728">
        <f>AE353/'Procesy - AS IS'!AD89</f>
        <v>-0.29263833992094862</v>
      </c>
      <c r="AG353" s="797">
        <f>'Procesy - AS IS'!AG89/(1+$AF353)-'Procesy - AS IS'!AG89</f>
        <v>4.5507438709226804</v>
      </c>
      <c r="AH353" s="927">
        <f>'Procesy - AS IS'!AH89/(1+$AF353)-'Procesy - AS IS'!AH89</f>
        <v>0.41370398826569832</v>
      </c>
      <c r="AI353" s="730">
        <f>'Procesy - AS IS'!AI89/(1+$AF353)-'Procesy - AS IS'!AI89</f>
        <v>0</v>
      </c>
      <c r="AJ353" s="731">
        <f>'Procesy - AS IS'!AJ89/(1+$AF353)-'Procesy - AS IS'!AJ89</f>
        <v>0</v>
      </c>
      <c r="AL353" s="232"/>
      <c r="AZ353" s="227"/>
    </row>
    <row r="354" spans="1:52" hidden="1" outlineLevel="1" x14ac:dyDescent="0.25">
      <c r="A354" s="159"/>
      <c r="B354" s="1358" t="s">
        <v>528</v>
      </c>
      <c r="C354" s="667" t="str">
        <f>'Optimalizačné opatrenia'!$B$2</f>
        <v>Modernizácia</v>
      </c>
      <c r="D354" s="718" t="s">
        <v>530</v>
      </c>
      <c r="E354" s="703" t="s">
        <v>529</v>
      </c>
      <c r="F354" s="703" t="str">
        <f t="shared" ref="F354:G366" si="459">F80</f>
        <v>A</v>
      </c>
      <c r="G354" s="703" t="str">
        <f t="shared" si="459"/>
        <v>A</v>
      </c>
      <c r="H354" s="703"/>
      <c r="I354" s="703"/>
      <c r="J354" s="703"/>
      <c r="K354" s="703"/>
      <c r="L354" s="703" t="str">
        <f t="shared" ref="L354:L366" si="460">L96</f>
        <v>A</v>
      </c>
      <c r="M354" s="703" t="s">
        <v>530</v>
      </c>
      <c r="N354" s="703" t="s">
        <v>530</v>
      </c>
      <c r="O354" s="703"/>
      <c r="P354" s="703" t="str">
        <f t="shared" ref="P354:P366" si="461">P280</f>
        <v>A</v>
      </c>
      <c r="Q354" s="703" t="str">
        <f t="shared" ref="Q354:Q366" si="462">G354</f>
        <v>A</v>
      </c>
      <c r="R354" s="703" t="str">
        <f t="shared" ref="R354:R366" si="463">R10</f>
        <v>A</v>
      </c>
      <c r="S354" s="703" t="str">
        <f t="shared" ref="S354:S366" si="464">R354</f>
        <v>A</v>
      </c>
      <c r="T354" s="703" t="str">
        <f t="shared" ref="T354:T366" si="465">R354</f>
        <v>A</v>
      </c>
      <c r="U354" s="703" t="str">
        <f t="shared" ref="U354:U366" si="466">G354</f>
        <v>A</v>
      </c>
      <c r="V354" s="703" t="str">
        <f t="shared" ref="V354:W366" si="467">V10</f>
        <v>A</v>
      </c>
      <c r="W354" s="703" t="str">
        <f t="shared" si="467"/>
        <v>A</v>
      </c>
      <c r="X354" s="703" t="str">
        <f t="shared" ref="X354:X366" si="468">G354</f>
        <v>A</v>
      </c>
      <c r="Y354" s="703" t="str">
        <f t="shared" ref="Y354:Y366" si="469">R354</f>
        <v>A</v>
      </c>
      <c r="Z354" s="703" t="str">
        <f t="shared" ref="Z354:Z366" si="470">R354</f>
        <v>A</v>
      </c>
      <c r="AA354" s="703" t="str">
        <f t="shared" ref="AA354:AA366" si="471">$V354</f>
        <v>A</v>
      </c>
      <c r="AB354" s="703" t="str">
        <f t="shared" ref="AB354:AB366" si="472">G354</f>
        <v>A</v>
      </c>
      <c r="AC354" s="703" t="str">
        <f t="shared" ref="AC354:AC366" si="473">R354</f>
        <v>A</v>
      </c>
      <c r="AD354" s="804"/>
      <c r="AE354" s="804"/>
      <c r="AF354" s="791"/>
      <c r="AG354" s="798"/>
      <c r="AH354" s="928"/>
      <c r="AI354" s="732"/>
      <c r="AJ354" s="733"/>
    </row>
    <row r="355" spans="1:52" hidden="1" outlineLevel="1" x14ac:dyDescent="0.25">
      <c r="A355" s="159"/>
      <c r="B355" s="1359"/>
      <c r="C355" s="667" t="str">
        <f>'Optimalizačné opatrenia'!$B$3</f>
        <v>Sfunkčnenie</v>
      </c>
      <c r="D355" s="718" t="s">
        <v>530</v>
      </c>
      <c r="E355" s="703" t="s">
        <v>530</v>
      </c>
      <c r="F355" s="703" t="str">
        <f t="shared" si="459"/>
        <v>N</v>
      </c>
      <c r="G355" s="703" t="str">
        <f t="shared" si="459"/>
        <v>N</v>
      </c>
      <c r="H355" s="703"/>
      <c r="I355" s="703"/>
      <c r="J355" s="703"/>
      <c r="K355" s="703"/>
      <c r="L355" s="703" t="str">
        <f t="shared" si="460"/>
        <v>N</v>
      </c>
      <c r="M355" s="703" t="s">
        <v>530</v>
      </c>
      <c r="N355" s="703" t="s">
        <v>530</v>
      </c>
      <c r="O355" s="703"/>
      <c r="P355" s="703" t="str">
        <f t="shared" si="461"/>
        <v>N</v>
      </c>
      <c r="Q355" s="703" t="str">
        <f t="shared" si="462"/>
        <v>N</v>
      </c>
      <c r="R355" s="703" t="str">
        <f t="shared" si="463"/>
        <v>N</v>
      </c>
      <c r="S355" s="703" t="str">
        <f t="shared" si="464"/>
        <v>N</v>
      </c>
      <c r="T355" s="703" t="str">
        <f t="shared" si="465"/>
        <v>N</v>
      </c>
      <c r="U355" s="703" t="str">
        <f t="shared" si="466"/>
        <v>N</v>
      </c>
      <c r="V355" s="703" t="str">
        <f t="shared" si="467"/>
        <v>N</v>
      </c>
      <c r="W355" s="703" t="str">
        <f t="shared" si="467"/>
        <v>N</v>
      </c>
      <c r="X355" s="703" t="str">
        <f t="shared" si="468"/>
        <v>N</v>
      </c>
      <c r="Y355" s="703" t="str">
        <f t="shared" si="469"/>
        <v>N</v>
      </c>
      <c r="Z355" s="703" t="str">
        <f t="shared" si="470"/>
        <v>N</v>
      </c>
      <c r="AA355" s="703" t="str">
        <f t="shared" si="471"/>
        <v>N</v>
      </c>
      <c r="AB355" s="703" t="str">
        <f t="shared" si="472"/>
        <v>N</v>
      </c>
      <c r="AC355" s="703" t="str">
        <f t="shared" si="473"/>
        <v>N</v>
      </c>
      <c r="AD355" s="804"/>
      <c r="AE355" s="804"/>
      <c r="AF355" s="791"/>
      <c r="AG355" s="798"/>
      <c r="AH355" s="928"/>
      <c r="AI355" s="732"/>
      <c r="AJ355" s="733"/>
    </row>
    <row r="356" spans="1:52" hidden="1" outlineLevel="1" x14ac:dyDescent="0.25">
      <c r="A356" s="159"/>
      <c r="B356" s="1359"/>
      <c r="C356" s="667" t="str">
        <f>'Optimalizačné opatrenia'!$B$4</f>
        <v>Zjednotenie</v>
      </c>
      <c r="D356" s="718" t="s">
        <v>530</v>
      </c>
      <c r="E356" s="703" t="s">
        <v>530</v>
      </c>
      <c r="F356" s="703" t="str">
        <f t="shared" si="459"/>
        <v>A</v>
      </c>
      <c r="G356" s="703" t="str">
        <f t="shared" si="459"/>
        <v>A</v>
      </c>
      <c r="H356" s="703"/>
      <c r="I356" s="703"/>
      <c r="J356" s="703"/>
      <c r="K356" s="703"/>
      <c r="L356" s="703" t="str">
        <f t="shared" si="460"/>
        <v>A</v>
      </c>
      <c r="M356" s="703" t="s">
        <v>530</v>
      </c>
      <c r="N356" s="703" t="s">
        <v>530</v>
      </c>
      <c r="O356" s="703"/>
      <c r="P356" s="703" t="str">
        <f t="shared" si="461"/>
        <v>A</v>
      </c>
      <c r="Q356" s="703" t="str">
        <f t="shared" si="462"/>
        <v>A</v>
      </c>
      <c r="R356" s="703" t="str">
        <f t="shared" si="463"/>
        <v>A</v>
      </c>
      <c r="S356" s="703" t="str">
        <f t="shared" si="464"/>
        <v>A</v>
      </c>
      <c r="T356" s="703" t="str">
        <f t="shared" si="465"/>
        <v>A</v>
      </c>
      <c r="U356" s="703" t="str">
        <f t="shared" si="466"/>
        <v>A</v>
      </c>
      <c r="V356" s="703" t="str">
        <f t="shared" si="467"/>
        <v>A</v>
      </c>
      <c r="W356" s="703" t="str">
        <f t="shared" si="467"/>
        <v>A</v>
      </c>
      <c r="X356" s="703" t="str">
        <f t="shared" si="468"/>
        <v>A</v>
      </c>
      <c r="Y356" s="703" t="str">
        <f t="shared" si="469"/>
        <v>A</v>
      </c>
      <c r="Z356" s="703" t="str">
        <f t="shared" si="470"/>
        <v>A</v>
      </c>
      <c r="AA356" s="703" t="str">
        <f t="shared" si="471"/>
        <v>A</v>
      </c>
      <c r="AB356" s="703" t="str">
        <f t="shared" si="472"/>
        <v>A</v>
      </c>
      <c r="AC356" s="703" t="str">
        <f t="shared" si="473"/>
        <v>A</v>
      </c>
      <c r="AD356" s="804"/>
      <c r="AE356" s="804"/>
      <c r="AF356" s="791"/>
      <c r="AG356" s="798"/>
      <c r="AH356" s="928"/>
      <c r="AI356" s="732"/>
      <c r="AJ356" s="733"/>
    </row>
    <row r="357" spans="1:52" hidden="1" outlineLevel="1" x14ac:dyDescent="0.25">
      <c r="A357" s="159"/>
      <c r="B357" s="1359"/>
      <c r="C357" s="667" t="str">
        <f>'Optimalizačné opatrenia'!$B$5</f>
        <v>Centralizácia</v>
      </c>
      <c r="D357" s="718" t="s">
        <v>530</v>
      </c>
      <c r="E357" s="703" t="s">
        <v>530</v>
      </c>
      <c r="F357" s="703" t="str">
        <f t="shared" si="459"/>
        <v>A</v>
      </c>
      <c r="G357" s="703" t="str">
        <f t="shared" si="459"/>
        <v>A</v>
      </c>
      <c r="H357" s="703"/>
      <c r="I357" s="703"/>
      <c r="J357" s="703"/>
      <c r="K357" s="703"/>
      <c r="L357" s="703" t="str">
        <f t="shared" si="460"/>
        <v>A</v>
      </c>
      <c r="M357" s="703" t="s">
        <v>530</v>
      </c>
      <c r="N357" s="703" t="s">
        <v>530</v>
      </c>
      <c r="O357" s="703"/>
      <c r="P357" s="703" t="str">
        <f t="shared" si="461"/>
        <v>A</v>
      </c>
      <c r="Q357" s="703" t="str">
        <f t="shared" si="462"/>
        <v>A</v>
      </c>
      <c r="R357" s="703" t="str">
        <f t="shared" si="463"/>
        <v>A</v>
      </c>
      <c r="S357" s="703" t="str">
        <f t="shared" si="464"/>
        <v>A</v>
      </c>
      <c r="T357" s="703" t="str">
        <f t="shared" si="465"/>
        <v>A</v>
      </c>
      <c r="U357" s="703" t="str">
        <f t="shared" si="466"/>
        <v>A</v>
      </c>
      <c r="V357" s="703" t="str">
        <f t="shared" si="467"/>
        <v>A</v>
      </c>
      <c r="W357" s="703" t="str">
        <f t="shared" si="467"/>
        <v>A</v>
      </c>
      <c r="X357" s="703" t="str">
        <f t="shared" si="468"/>
        <v>A</v>
      </c>
      <c r="Y357" s="703" t="str">
        <f t="shared" si="469"/>
        <v>A</v>
      </c>
      <c r="Z357" s="703" t="str">
        <f t="shared" si="470"/>
        <v>A</v>
      </c>
      <c r="AA357" s="703" t="str">
        <f t="shared" si="471"/>
        <v>A</v>
      </c>
      <c r="AB357" s="703" t="str">
        <f t="shared" si="472"/>
        <v>A</v>
      </c>
      <c r="AC357" s="703" t="str">
        <f t="shared" si="473"/>
        <v>A</v>
      </c>
      <c r="AD357" s="804"/>
      <c r="AE357" s="804"/>
      <c r="AF357" s="791"/>
      <c r="AG357" s="798"/>
      <c r="AH357" s="928"/>
      <c r="AI357" s="732"/>
      <c r="AJ357" s="733"/>
    </row>
    <row r="358" spans="1:52" hidden="1" outlineLevel="1" x14ac:dyDescent="0.25">
      <c r="A358" s="159"/>
      <c r="B358" s="1359"/>
      <c r="C358" s="667" t="str">
        <f>'Optimalizačné opatrenia'!$B$6</f>
        <v>Elektronizácia</v>
      </c>
      <c r="D358" s="718" t="s">
        <v>530</v>
      </c>
      <c r="E358" s="703" t="s">
        <v>529</v>
      </c>
      <c r="F358" s="703" t="str">
        <f t="shared" si="459"/>
        <v>A</v>
      </c>
      <c r="G358" s="703" t="str">
        <f t="shared" si="459"/>
        <v>A</v>
      </c>
      <c r="H358" s="703"/>
      <c r="I358" s="703"/>
      <c r="J358" s="703"/>
      <c r="K358" s="703"/>
      <c r="L358" s="703" t="str">
        <f t="shared" si="460"/>
        <v>A</v>
      </c>
      <c r="M358" s="703" t="s">
        <v>530</v>
      </c>
      <c r="N358" s="703" t="s">
        <v>530</v>
      </c>
      <c r="O358" s="703"/>
      <c r="P358" s="703" t="str">
        <f t="shared" si="461"/>
        <v>A</v>
      </c>
      <c r="Q358" s="703" t="str">
        <f t="shared" si="462"/>
        <v>A</v>
      </c>
      <c r="R358" s="703" t="str">
        <f t="shared" si="463"/>
        <v>A</v>
      </c>
      <c r="S358" s="703" t="str">
        <f t="shared" si="464"/>
        <v>A</v>
      </c>
      <c r="T358" s="703" t="str">
        <f t="shared" si="465"/>
        <v>A</v>
      </c>
      <c r="U358" s="703" t="str">
        <f t="shared" si="466"/>
        <v>A</v>
      </c>
      <c r="V358" s="703" t="str">
        <f t="shared" si="467"/>
        <v>A</v>
      </c>
      <c r="W358" s="703" t="str">
        <f t="shared" si="467"/>
        <v>A</v>
      </c>
      <c r="X358" s="703" t="str">
        <f t="shared" si="468"/>
        <v>A</v>
      </c>
      <c r="Y358" s="703" t="str">
        <f t="shared" si="469"/>
        <v>A</v>
      </c>
      <c r="Z358" s="703" t="str">
        <f t="shared" si="470"/>
        <v>A</v>
      </c>
      <c r="AA358" s="703" t="str">
        <f t="shared" si="471"/>
        <v>A</v>
      </c>
      <c r="AB358" s="703" t="str">
        <f t="shared" si="472"/>
        <v>A</v>
      </c>
      <c r="AC358" s="703" t="str">
        <f t="shared" si="473"/>
        <v>A</v>
      </c>
      <c r="AD358" s="804"/>
      <c r="AE358" s="804"/>
      <c r="AF358" s="791"/>
      <c r="AG358" s="798"/>
      <c r="AH358" s="928"/>
      <c r="AI358" s="732"/>
      <c r="AJ358" s="733"/>
    </row>
    <row r="359" spans="1:52" hidden="1" outlineLevel="1" x14ac:dyDescent="0.25">
      <c r="A359" s="159"/>
      <c r="B359" s="1359"/>
      <c r="C359" s="667" t="str">
        <f>'Optimalizačné opatrenia'!$B$7</f>
        <v>Automatizácia</v>
      </c>
      <c r="D359" s="718" t="s">
        <v>530</v>
      </c>
      <c r="E359" s="703" t="s">
        <v>529</v>
      </c>
      <c r="F359" s="703" t="str">
        <f t="shared" si="459"/>
        <v>A</v>
      </c>
      <c r="G359" s="703" t="str">
        <f t="shared" si="459"/>
        <v>A</v>
      </c>
      <c r="H359" s="703"/>
      <c r="I359" s="703"/>
      <c r="J359" s="703"/>
      <c r="K359" s="703"/>
      <c r="L359" s="703" t="str">
        <f t="shared" si="460"/>
        <v>A</v>
      </c>
      <c r="M359" s="703" t="s">
        <v>530</v>
      </c>
      <c r="N359" s="703" t="s">
        <v>530</v>
      </c>
      <c r="O359" s="703"/>
      <c r="P359" s="703" t="str">
        <f t="shared" si="461"/>
        <v>A</v>
      </c>
      <c r="Q359" s="703" t="str">
        <f t="shared" si="462"/>
        <v>A</v>
      </c>
      <c r="R359" s="703" t="str">
        <f t="shared" si="463"/>
        <v>A</v>
      </c>
      <c r="S359" s="703" t="str">
        <f t="shared" si="464"/>
        <v>A</v>
      </c>
      <c r="T359" s="703" t="str">
        <f t="shared" si="465"/>
        <v>A</v>
      </c>
      <c r="U359" s="703" t="str">
        <f t="shared" si="466"/>
        <v>A</v>
      </c>
      <c r="V359" s="703" t="str">
        <f t="shared" si="467"/>
        <v>A</v>
      </c>
      <c r="W359" s="703" t="str">
        <f t="shared" si="467"/>
        <v>A</v>
      </c>
      <c r="X359" s="703" t="str">
        <f t="shared" si="468"/>
        <v>A</v>
      </c>
      <c r="Y359" s="703" t="str">
        <f t="shared" si="469"/>
        <v>A</v>
      </c>
      <c r="Z359" s="703" t="str">
        <f t="shared" si="470"/>
        <v>A</v>
      </c>
      <c r="AA359" s="703" t="str">
        <f t="shared" si="471"/>
        <v>A</v>
      </c>
      <c r="AB359" s="703" t="str">
        <f t="shared" si="472"/>
        <v>A</v>
      </c>
      <c r="AC359" s="703" t="str">
        <f t="shared" si="473"/>
        <v>A</v>
      </c>
      <c r="AD359" s="804"/>
      <c r="AE359" s="804"/>
      <c r="AF359" s="791"/>
      <c r="AG359" s="798"/>
      <c r="AH359" s="928"/>
      <c r="AI359" s="732"/>
      <c r="AJ359" s="733"/>
    </row>
    <row r="360" spans="1:52" hidden="1" outlineLevel="1" x14ac:dyDescent="0.25">
      <c r="A360" s="159"/>
      <c r="B360" s="1359"/>
      <c r="C360" s="667" t="str">
        <f>'Optimalizačné opatrenia'!$B$8</f>
        <v>Bezpečnosť</v>
      </c>
      <c r="D360" s="718" t="s">
        <v>530</v>
      </c>
      <c r="E360" s="703" t="s">
        <v>530</v>
      </c>
      <c r="F360" s="703" t="str">
        <f t="shared" si="459"/>
        <v>A</v>
      </c>
      <c r="G360" s="703" t="str">
        <f t="shared" si="459"/>
        <v>A</v>
      </c>
      <c r="H360" s="703"/>
      <c r="I360" s="703"/>
      <c r="J360" s="703"/>
      <c r="K360" s="703"/>
      <c r="L360" s="703" t="str">
        <f t="shared" si="460"/>
        <v>A</v>
      </c>
      <c r="M360" s="703" t="s">
        <v>530</v>
      </c>
      <c r="N360" s="703" t="s">
        <v>530</v>
      </c>
      <c r="O360" s="703"/>
      <c r="P360" s="703" t="str">
        <f t="shared" si="461"/>
        <v>A</v>
      </c>
      <c r="Q360" s="703" t="str">
        <f t="shared" si="462"/>
        <v>A</v>
      </c>
      <c r="R360" s="703" t="str">
        <f t="shared" si="463"/>
        <v>A</v>
      </c>
      <c r="S360" s="703" t="str">
        <f t="shared" si="464"/>
        <v>A</v>
      </c>
      <c r="T360" s="703" t="str">
        <f t="shared" si="465"/>
        <v>A</v>
      </c>
      <c r="U360" s="703" t="str">
        <f t="shared" si="466"/>
        <v>A</v>
      </c>
      <c r="V360" s="703" t="str">
        <f t="shared" si="467"/>
        <v>A</v>
      </c>
      <c r="W360" s="703" t="str">
        <f t="shared" si="467"/>
        <v>A</v>
      </c>
      <c r="X360" s="703" t="str">
        <f t="shared" si="468"/>
        <v>A</v>
      </c>
      <c r="Y360" s="703" t="str">
        <f t="shared" si="469"/>
        <v>A</v>
      </c>
      <c r="Z360" s="703" t="str">
        <f t="shared" si="470"/>
        <v>A</v>
      </c>
      <c r="AA360" s="703" t="str">
        <f t="shared" si="471"/>
        <v>A</v>
      </c>
      <c r="AB360" s="703" t="str">
        <f t="shared" si="472"/>
        <v>A</v>
      </c>
      <c r="AC360" s="703" t="str">
        <f t="shared" si="473"/>
        <v>A</v>
      </c>
      <c r="AD360" s="804"/>
      <c r="AE360" s="804"/>
      <c r="AF360" s="791"/>
      <c r="AG360" s="798"/>
      <c r="AH360" s="928"/>
      <c r="AI360" s="732"/>
      <c r="AJ360" s="733"/>
    </row>
    <row r="361" spans="1:52" hidden="1" outlineLevel="1" x14ac:dyDescent="0.25">
      <c r="A361" s="159"/>
      <c r="B361" s="1359"/>
      <c r="C361" s="667" t="str">
        <f>'Optimalizačné opatrenia'!$B$9</f>
        <v>Auditovateľnosť</v>
      </c>
      <c r="D361" s="718" t="s">
        <v>530</v>
      </c>
      <c r="E361" s="703" t="s">
        <v>529</v>
      </c>
      <c r="F361" s="703" t="str">
        <f t="shared" si="459"/>
        <v>A</v>
      </c>
      <c r="G361" s="703" t="str">
        <f t="shared" si="459"/>
        <v>A</v>
      </c>
      <c r="H361" s="703"/>
      <c r="I361" s="703"/>
      <c r="J361" s="703"/>
      <c r="K361" s="703"/>
      <c r="L361" s="703" t="str">
        <f t="shared" si="460"/>
        <v>A</v>
      </c>
      <c r="M361" s="703" t="s">
        <v>530</v>
      </c>
      <c r="N361" s="703" t="s">
        <v>530</v>
      </c>
      <c r="O361" s="703"/>
      <c r="P361" s="703" t="str">
        <f t="shared" si="461"/>
        <v>A</v>
      </c>
      <c r="Q361" s="703" t="str">
        <f t="shared" si="462"/>
        <v>A</v>
      </c>
      <c r="R361" s="703" t="str">
        <f t="shared" si="463"/>
        <v>A</v>
      </c>
      <c r="S361" s="703" t="str">
        <f t="shared" si="464"/>
        <v>A</v>
      </c>
      <c r="T361" s="703" t="str">
        <f t="shared" si="465"/>
        <v>A</v>
      </c>
      <c r="U361" s="703" t="str">
        <f t="shared" si="466"/>
        <v>A</v>
      </c>
      <c r="V361" s="703" t="str">
        <f t="shared" si="467"/>
        <v>A</v>
      </c>
      <c r="W361" s="703" t="str">
        <f t="shared" si="467"/>
        <v>A</v>
      </c>
      <c r="X361" s="703" t="str">
        <f t="shared" si="468"/>
        <v>A</v>
      </c>
      <c r="Y361" s="703" t="str">
        <f t="shared" si="469"/>
        <v>A</v>
      </c>
      <c r="Z361" s="703" t="str">
        <f t="shared" si="470"/>
        <v>A</v>
      </c>
      <c r="AA361" s="703" t="str">
        <f t="shared" si="471"/>
        <v>A</v>
      </c>
      <c r="AB361" s="703" t="str">
        <f t="shared" si="472"/>
        <v>A</v>
      </c>
      <c r="AC361" s="703" t="str">
        <f t="shared" si="473"/>
        <v>A</v>
      </c>
      <c r="AD361" s="804"/>
      <c r="AE361" s="804"/>
      <c r="AF361" s="791"/>
      <c r="AG361" s="798"/>
      <c r="AH361" s="928"/>
      <c r="AI361" s="732"/>
      <c r="AJ361" s="733"/>
    </row>
    <row r="362" spans="1:52" hidden="1" outlineLevel="1" x14ac:dyDescent="0.25">
      <c r="A362" s="159"/>
      <c r="B362" s="1359"/>
      <c r="C362" s="667" t="str">
        <f>'Optimalizačné opatrenia'!$B$10</f>
        <v>Transparentnosť</v>
      </c>
      <c r="D362" s="718" t="s">
        <v>530</v>
      </c>
      <c r="E362" s="703" t="s">
        <v>530</v>
      </c>
      <c r="F362" s="703" t="str">
        <f t="shared" si="459"/>
        <v>N</v>
      </c>
      <c r="G362" s="703" t="str">
        <f t="shared" si="459"/>
        <v>N</v>
      </c>
      <c r="H362" s="703"/>
      <c r="I362" s="703"/>
      <c r="J362" s="703"/>
      <c r="K362" s="703"/>
      <c r="L362" s="703" t="str">
        <f t="shared" si="460"/>
        <v>N</v>
      </c>
      <c r="M362" s="703" t="s">
        <v>530</v>
      </c>
      <c r="N362" s="703" t="s">
        <v>530</v>
      </c>
      <c r="O362" s="703"/>
      <c r="P362" s="703" t="str">
        <f t="shared" si="461"/>
        <v>A</v>
      </c>
      <c r="Q362" s="703" t="str">
        <f t="shared" si="462"/>
        <v>N</v>
      </c>
      <c r="R362" s="703" t="str">
        <f t="shared" si="463"/>
        <v>N</v>
      </c>
      <c r="S362" s="703" t="str">
        <f t="shared" si="464"/>
        <v>N</v>
      </c>
      <c r="T362" s="703" t="str">
        <f t="shared" si="465"/>
        <v>N</v>
      </c>
      <c r="U362" s="703" t="str">
        <f t="shared" si="466"/>
        <v>N</v>
      </c>
      <c r="V362" s="703" t="str">
        <f t="shared" si="467"/>
        <v>A</v>
      </c>
      <c r="W362" s="703" t="str">
        <f t="shared" si="467"/>
        <v>N</v>
      </c>
      <c r="X362" s="703" t="str">
        <f t="shared" si="468"/>
        <v>N</v>
      </c>
      <c r="Y362" s="703" t="str">
        <f t="shared" si="469"/>
        <v>N</v>
      </c>
      <c r="Z362" s="703" t="str">
        <f t="shared" si="470"/>
        <v>N</v>
      </c>
      <c r="AA362" s="703" t="str">
        <f t="shared" si="471"/>
        <v>A</v>
      </c>
      <c r="AB362" s="703" t="str">
        <f t="shared" si="472"/>
        <v>N</v>
      </c>
      <c r="AC362" s="703" t="str">
        <f t="shared" si="473"/>
        <v>N</v>
      </c>
      <c r="AD362" s="804"/>
      <c r="AE362" s="804"/>
      <c r="AF362" s="791"/>
      <c r="AG362" s="798"/>
      <c r="AH362" s="928"/>
      <c r="AI362" s="732"/>
      <c r="AJ362" s="733"/>
    </row>
    <row r="363" spans="1:52" hidden="1" outlineLevel="1" x14ac:dyDescent="0.25">
      <c r="A363" s="159"/>
      <c r="B363" s="1359"/>
      <c r="C363" s="667" t="str">
        <f>'Optimalizačné opatrenia'!$B$11</f>
        <v>Analyzovatelnosť</v>
      </c>
      <c r="D363" s="718" t="s">
        <v>530</v>
      </c>
      <c r="E363" s="703" t="s">
        <v>530</v>
      </c>
      <c r="F363" s="703" t="str">
        <f t="shared" si="459"/>
        <v>A</v>
      </c>
      <c r="G363" s="703" t="str">
        <f t="shared" si="459"/>
        <v>A</v>
      </c>
      <c r="H363" s="703"/>
      <c r="I363" s="703"/>
      <c r="J363" s="703"/>
      <c r="K363" s="703"/>
      <c r="L363" s="703" t="str">
        <f t="shared" si="460"/>
        <v>A</v>
      </c>
      <c r="M363" s="703" t="s">
        <v>530</v>
      </c>
      <c r="N363" s="703" t="s">
        <v>530</v>
      </c>
      <c r="O363" s="703"/>
      <c r="P363" s="703" t="str">
        <f t="shared" si="461"/>
        <v>A</v>
      </c>
      <c r="Q363" s="703" t="str">
        <f t="shared" si="462"/>
        <v>A</v>
      </c>
      <c r="R363" s="703" t="str">
        <f t="shared" si="463"/>
        <v>A</v>
      </c>
      <c r="S363" s="703" t="str">
        <f t="shared" si="464"/>
        <v>A</v>
      </c>
      <c r="T363" s="703" t="str">
        <f t="shared" si="465"/>
        <v>A</v>
      </c>
      <c r="U363" s="703" t="str">
        <f t="shared" si="466"/>
        <v>A</v>
      </c>
      <c r="V363" s="703" t="str">
        <f t="shared" si="467"/>
        <v>A</v>
      </c>
      <c r="W363" s="703" t="str">
        <f t="shared" si="467"/>
        <v>A</v>
      </c>
      <c r="X363" s="703" t="str">
        <f t="shared" si="468"/>
        <v>A</v>
      </c>
      <c r="Y363" s="703" t="str">
        <f t="shared" si="469"/>
        <v>A</v>
      </c>
      <c r="Z363" s="703" t="str">
        <f t="shared" si="470"/>
        <v>A</v>
      </c>
      <c r="AA363" s="703" t="str">
        <f t="shared" si="471"/>
        <v>A</v>
      </c>
      <c r="AB363" s="703" t="str">
        <f t="shared" si="472"/>
        <v>A</v>
      </c>
      <c r="AC363" s="703" t="str">
        <f t="shared" si="473"/>
        <v>A</v>
      </c>
      <c r="AD363" s="804"/>
      <c r="AE363" s="804"/>
      <c r="AF363" s="791"/>
      <c r="AG363" s="798"/>
      <c r="AH363" s="928"/>
      <c r="AI363" s="732"/>
      <c r="AJ363" s="733"/>
    </row>
    <row r="364" spans="1:52" hidden="1" outlineLevel="1" x14ac:dyDescent="0.25">
      <c r="A364" s="159"/>
      <c r="B364" s="1359"/>
      <c r="C364" s="667" t="str">
        <f>'Optimalizačné opatrenia'!$B$12</f>
        <v>Integrácia</v>
      </c>
      <c r="D364" s="718" t="s">
        <v>530</v>
      </c>
      <c r="E364" s="703" t="s">
        <v>529</v>
      </c>
      <c r="F364" s="703" t="str">
        <f t="shared" si="459"/>
        <v>A</v>
      </c>
      <c r="G364" s="703" t="str">
        <f t="shared" si="459"/>
        <v>A</v>
      </c>
      <c r="H364" s="703"/>
      <c r="I364" s="703"/>
      <c r="J364" s="703"/>
      <c r="K364" s="703"/>
      <c r="L364" s="703" t="str">
        <f t="shared" si="460"/>
        <v>A</v>
      </c>
      <c r="M364" s="703" t="s">
        <v>530</v>
      </c>
      <c r="N364" s="703" t="s">
        <v>530</v>
      </c>
      <c r="O364" s="703"/>
      <c r="P364" s="703" t="str">
        <f t="shared" si="461"/>
        <v>A</v>
      </c>
      <c r="Q364" s="703" t="str">
        <f t="shared" si="462"/>
        <v>A</v>
      </c>
      <c r="R364" s="703" t="str">
        <f t="shared" si="463"/>
        <v>A</v>
      </c>
      <c r="S364" s="703" t="str">
        <f t="shared" si="464"/>
        <v>A</v>
      </c>
      <c r="T364" s="703" t="str">
        <f t="shared" si="465"/>
        <v>A</v>
      </c>
      <c r="U364" s="703" t="str">
        <f t="shared" si="466"/>
        <v>A</v>
      </c>
      <c r="V364" s="703" t="str">
        <f t="shared" si="467"/>
        <v>A</v>
      </c>
      <c r="W364" s="703" t="str">
        <f t="shared" si="467"/>
        <v>A</v>
      </c>
      <c r="X364" s="703" t="str">
        <f t="shared" si="468"/>
        <v>A</v>
      </c>
      <c r="Y364" s="703" t="str">
        <f t="shared" si="469"/>
        <v>A</v>
      </c>
      <c r="Z364" s="703" t="str">
        <f t="shared" si="470"/>
        <v>A</v>
      </c>
      <c r="AA364" s="703" t="str">
        <f t="shared" si="471"/>
        <v>A</v>
      </c>
      <c r="AB364" s="703" t="str">
        <f t="shared" si="472"/>
        <v>A</v>
      </c>
      <c r="AC364" s="703" t="str">
        <f t="shared" si="473"/>
        <v>A</v>
      </c>
      <c r="AD364" s="804"/>
      <c r="AE364" s="804"/>
      <c r="AF364" s="791"/>
      <c r="AG364" s="798"/>
      <c r="AH364" s="928"/>
      <c r="AI364" s="732"/>
      <c r="AJ364" s="733"/>
    </row>
    <row r="365" spans="1:52" hidden="1" outlineLevel="1" x14ac:dyDescent="0.25">
      <c r="A365" s="159"/>
      <c r="B365" s="1359"/>
      <c r="C365" s="672" t="str">
        <f>'Optimalizačné opatrenia'!$B$13</f>
        <v>Proaktivita</v>
      </c>
      <c r="D365" s="718" t="s">
        <v>530</v>
      </c>
      <c r="E365" s="703" t="s">
        <v>530</v>
      </c>
      <c r="F365" s="703" t="str">
        <f t="shared" si="459"/>
        <v>A</v>
      </c>
      <c r="G365" s="703" t="str">
        <f t="shared" si="459"/>
        <v>N</v>
      </c>
      <c r="H365" s="703"/>
      <c r="I365" s="703"/>
      <c r="J365" s="703"/>
      <c r="K365" s="703"/>
      <c r="L365" s="703" t="str">
        <f t="shared" si="460"/>
        <v>A</v>
      </c>
      <c r="M365" s="703" t="s">
        <v>530</v>
      </c>
      <c r="N365" s="703" t="s">
        <v>530</v>
      </c>
      <c r="O365" s="703"/>
      <c r="P365" s="703" t="str">
        <f t="shared" si="461"/>
        <v>N</v>
      </c>
      <c r="Q365" s="703" t="str">
        <f t="shared" si="462"/>
        <v>N</v>
      </c>
      <c r="R365" s="703" t="str">
        <f t="shared" si="463"/>
        <v>A</v>
      </c>
      <c r="S365" s="703" t="str">
        <f t="shared" si="464"/>
        <v>A</v>
      </c>
      <c r="T365" s="703" t="str">
        <f t="shared" si="465"/>
        <v>A</v>
      </c>
      <c r="U365" s="703" t="str">
        <f t="shared" si="466"/>
        <v>N</v>
      </c>
      <c r="V365" s="703" t="str">
        <f t="shared" si="467"/>
        <v>A</v>
      </c>
      <c r="W365" s="703" t="str">
        <f t="shared" si="467"/>
        <v>N</v>
      </c>
      <c r="X365" s="703" t="str">
        <f t="shared" si="468"/>
        <v>N</v>
      </c>
      <c r="Y365" s="703" t="str">
        <f t="shared" si="469"/>
        <v>A</v>
      </c>
      <c r="Z365" s="703" t="str">
        <f t="shared" si="470"/>
        <v>A</v>
      </c>
      <c r="AA365" s="703" t="str">
        <f t="shared" si="471"/>
        <v>A</v>
      </c>
      <c r="AB365" s="703" t="str">
        <f t="shared" si="472"/>
        <v>N</v>
      </c>
      <c r="AC365" s="703" t="str">
        <f t="shared" si="473"/>
        <v>A</v>
      </c>
      <c r="AD365" s="804"/>
      <c r="AE365" s="804"/>
      <c r="AF365" s="791"/>
      <c r="AG365" s="798"/>
      <c r="AH365" s="928"/>
      <c r="AI365" s="732"/>
      <c r="AJ365" s="733"/>
    </row>
    <row r="366" spans="1:52" hidden="1" outlineLevel="1" x14ac:dyDescent="0.25">
      <c r="A366" s="159"/>
      <c r="B366" s="720"/>
      <c r="C366" s="722" t="s">
        <v>538</v>
      </c>
      <c r="D366" s="723">
        <v>0</v>
      </c>
      <c r="E366" s="721">
        <v>0.2</v>
      </c>
      <c r="F366" s="724">
        <f t="shared" si="459"/>
        <v>0.4</v>
      </c>
      <c r="G366" s="724">
        <f t="shared" si="459"/>
        <v>0.3</v>
      </c>
      <c r="H366" s="724"/>
      <c r="I366" s="724"/>
      <c r="J366" s="724"/>
      <c r="K366" s="724"/>
      <c r="L366" s="724">
        <f t="shared" si="460"/>
        <v>0.4</v>
      </c>
      <c r="M366" s="724">
        <v>0</v>
      </c>
      <c r="N366" s="724">
        <v>0</v>
      </c>
      <c r="O366" s="724"/>
      <c r="P366" s="724">
        <f t="shared" si="461"/>
        <v>0.45</v>
      </c>
      <c r="Q366" s="724">
        <f t="shared" si="462"/>
        <v>0.3</v>
      </c>
      <c r="R366" s="724">
        <f t="shared" si="463"/>
        <v>0.4</v>
      </c>
      <c r="S366" s="724">
        <f t="shared" si="464"/>
        <v>0.4</v>
      </c>
      <c r="T366" s="724">
        <f t="shared" si="465"/>
        <v>0.4</v>
      </c>
      <c r="U366" s="724">
        <f t="shared" si="466"/>
        <v>0.3</v>
      </c>
      <c r="V366" s="724">
        <f t="shared" si="467"/>
        <v>0.5</v>
      </c>
      <c r="W366" s="724">
        <f t="shared" si="467"/>
        <v>0.3</v>
      </c>
      <c r="X366" s="724">
        <f t="shared" si="468"/>
        <v>0.3</v>
      </c>
      <c r="Y366" s="724">
        <f t="shared" si="469"/>
        <v>0.4</v>
      </c>
      <c r="Z366" s="724">
        <f t="shared" si="470"/>
        <v>0.4</v>
      </c>
      <c r="AA366" s="724">
        <f t="shared" si="471"/>
        <v>0.5</v>
      </c>
      <c r="AB366" s="724">
        <f t="shared" si="472"/>
        <v>0.3</v>
      </c>
      <c r="AC366" s="724">
        <f t="shared" si="473"/>
        <v>0.4</v>
      </c>
      <c r="AD366" s="805"/>
      <c r="AE366" s="805"/>
      <c r="AF366" s="792"/>
      <c r="AG366" s="799"/>
      <c r="AH366" s="929"/>
      <c r="AI366" s="735"/>
      <c r="AJ366" s="736"/>
    </row>
    <row r="367" spans="1:52" ht="46.7" customHeight="1" collapsed="1" x14ac:dyDescent="0.25">
      <c r="A367" s="159">
        <f ca="1">OFFSET(A367,-14,0)+1</f>
        <v>26</v>
      </c>
      <c r="B367" s="668" t="str">
        <f ca="1">'Procesy - AS IS'!B90</f>
        <v>Meranie č. 26</v>
      </c>
      <c r="C367" s="671" t="str">
        <f>'Procesy - AS IS'!C90</f>
        <v>František Karkes, Senec, Používanie GT a GMO zámerným uvoľňovaním, 4785/2017</v>
      </c>
      <c r="D367" s="726">
        <f>-'Procesy - AS IS'!D92*D380</f>
        <v>0</v>
      </c>
      <c r="E367" s="653">
        <f>-'Procesy - AS IS'!E92*E380</f>
        <v>-1.6</v>
      </c>
      <c r="F367" s="653">
        <f>-'Procesy - AS IS'!F92*F380</f>
        <v>-3.2</v>
      </c>
      <c r="G367" s="653">
        <f>-'Procesy - AS IS'!G92*G380</f>
        <v>-1.2</v>
      </c>
      <c r="H367" s="653" t="s">
        <v>555</v>
      </c>
      <c r="I367" s="653" t="s">
        <v>555</v>
      </c>
      <c r="J367" s="653" t="s">
        <v>555</v>
      </c>
      <c r="K367" s="653" t="s">
        <v>555</v>
      </c>
      <c r="L367" s="653">
        <f>-'Procesy - AS IS'!L92*L380</f>
        <v>-1.6</v>
      </c>
      <c r="M367" s="653">
        <f>-'Procesy - AS IS'!M92*M380</f>
        <v>0</v>
      </c>
      <c r="N367" s="653" t="s">
        <v>557</v>
      </c>
      <c r="O367" s="653" t="s">
        <v>559</v>
      </c>
      <c r="P367" s="653">
        <f>-'Procesy - AS IS'!P92*P380</f>
        <v>-1.35</v>
      </c>
      <c r="Q367" s="653">
        <f>-'Procesy - AS IS'!Q92*Q380</f>
        <v>0</v>
      </c>
      <c r="R367" s="653">
        <f>-'Procesy - AS IS'!R92*R380</f>
        <v>-0.89824561403508774</v>
      </c>
      <c r="S367" s="653">
        <f>-'Procesy - AS IS'!S92*S380</f>
        <v>-1.3754385964912281</v>
      </c>
      <c r="T367" s="653">
        <f>-'Procesy - AS IS'!T92*T380</f>
        <v>-0.44912280701754387</v>
      </c>
      <c r="U367" s="653">
        <f>-'Procesy - AS IS'!U92*U380</f>
        <v>-1.0315789473684209</v>
      </c>
      <c r="V367" s="653">
        <f>-'Procesy - AS IS'!V92*V380</f>
        <v>-2</v>
      </c>
      <c r="W367" s="653">
        <f>-'Procesy - AS IS'!W92*W380</f>
        <v>0</v>
      </c>
      <c r="X367" s="653">
        <f>-'Procesy - AS IS'!X92*X380</f>
        <v>0</v>
      </c>
      <c r="Y367" s="653">
        <f>-'Procesy - AS IS'!Y92*Y380</f>
        <v>0</v>
      </c>
      <c r="Z367" s="653">
        <f>-'Procesy - AS IS'!Z92*Z380</f>
        <v>0</v>
      </c>
      <c r="AA367" s="653">
        <f>-'Procesy - AS IS'!AA92*AA380</f>
        <v>0</v>
      </c>
      <c r="AB367" s="653">
        <f>-'Procesy - AS IS'!AB92*AB380</f>
        <v>0</v>
      </c>
      <c r="AC367" s="653">
        <f>-'Procesy - AS IS'!AC92*AC380</f>
        <v>0</v>
      </c>
      <c r="AD367" s="754"/>
      <c r="AE367" s="754">
        <f>SUM(D367:AC367)</f>
        <v>-14.704385964912282</v>
      </c>
      <c r="AF367" s="728">
        <f>AE367/'Procesy - AS IS'!AD92</f>
        <v>-0.35650786899191844</v>
      </c>
      <c r="AG367" s="797">
        <f>('Procesy - AS IS'!AG92/(1+$AF367)-'Procesy - AS IS'!AG92)/2</f>
        <v>31.579171761906352</v>
      </c>
      <c r="AH367" s="927">
        <f>('Procesy - AS IS'!AH92/(1+$AF367)-'Procesy - AS IS'!AH92)/2</f>
        <v>4.4321644578114174</v>
      </c>
      <c r="AI367" s="730">
        <f>('Procesy - AS IS'!AI92/(1+$AF367)-'Procesy - AS IS'!AI92)/2</f>
        <v>0</v>
      </c>
      <c r="AJ367" s="731">
        <f>('Procesy - AS IS'!AJ92/(1+$AF367)-'Procesy - AS IS'!AJ92)/2</f>
        <v>0</v>
      </c>
      <c r="AL367" s="232"/>
      <c r="AZ367" s="227"/>
    </row>
    <row r="368" spans="1:52" hidden="1" outlineLevel="1" x14ac:dyDescent="0.25">
      <c r="A368" s="159"/>
      <c r="B368" s="1358" t="s">
        <v>528</v>
      </c>
      <c r="C368" s="667" t="str">
        <f>'Optimalizačné opatrenia'!$B$2</f>
        <v>Modernizácia</v>
      </c>
      <c r="D368" s="718" t="str">
        <f t="shared" ref="D368:G380" si="474">D354</f>
        <v>N</v>
      </c>
      <c r="E368" s="703" t="str">
        <f t="shared" si="474"/>
        <v>A</v>
      </c>
      <c r="F368" s="703" t="str">
        <f t="shared" si="474"/>
        <v>A</v>
      </c>
      <c r="G368" s="703" t="str">
        <f t="shared" si="474"/>
        <v>A</v>
      </c>
      <c r="H368" s="703"/>
      <c r="I368" s="703"/>
      <c r="J368" s="703"/>
      <c r="K368" s="703"/>
      <c r="L368" s="703" t="str">
        <f t="shared" ref="L368:N368" si="475">L354</f>
        <v>A</v>
      </c>
      <c r="M368" s="703" t="str">
        <f t="shared" si="475"/>
        <v>N</v>
      </c>
      <c r="N368" s="703" t="str">
        <f t="shared" si="475"/>
        <v>N</v>
      </c>
      <c r="O368" s="703"/>
      <c r="P368" s="703" t="str">
        <f t="shared" ref="P368:AC368" si="476">P354</f>
        <v>A</v>
      </c>
      <c r="Q368" s="703" t="str">
        <f t="shared" si="476"/>
        <v>A</v>
      </c>
      <c r="R368" s="703" t="str">
        <f t="shared" si="476"/>
        <v>A</v>
      </c>
      <c r="S368" s="703" t="str">
        <f t="shared" si="476"/>
        <v>A</v>
      </c>
      <c r="T368" s="703" t="str">
        <f t="shared" si="476"/>
        <v>A</v>
      </c>
      <c r="U368" s="703" t="str">
        <f t="shared" si="476"/>
        <v>A</v>
      </c>
      <c r="V368" s="703" t="str">
        <f t="shared" si="476"/>
        <v>A</v>
      </c>
      <c r="W368" s="703" t="str">
        <f t="shared" si="476"/>
        <v>A</v>
      </c>
      <c r="X368" s="703" t="str">
        <f t="shared" si="476"/>
        <v>A</v>
      </c>
      <c r="Y368" s="703" t="str">
        <f t="shared" si="476"/>
        <v>A</v>
      </c>
      <c r="Z368" s="703" t="str">
        <f t="shared" si="476"/>
        <v>A</v>
      </c>
      <c r="AA368" s="703" t="str">
        <f t="shared" si="476"/>
        <v>A</v>
      </c>
      <c r="AB368" s="703" t="str">
        <f t="shared" si="476"/>
        <v>A</v>
      </c>
      <c r="AC368" s="703" t="str">
        <f t="shared" si="476"/>
        <v>A</v>
      </c>
      <c r="AD368" s="804"/>
      <c r="AE368" s="804"/>
      <c r="AF368" s="791"/>
      <c r="AG368" s="798"/>
      <c r="AH368" s="928"/>
      <c r="AI368" s="732"/>
      <c r="AJ368" s="733"/>
    </row>
    <row r="369" spans="1:52" hidden="1" outlineLevel="1" x14ac:dyDescent="0.25">
      <c r="A369" s="159"/>
      <c r="B369" s="1359"/>
      <c r="C369" s="667" t="str">
        <f>'Optimalizačné opatrenia'!$B$3</f>
        <v>Sfunkčnenie</v>
      </c>
      <c r="D369" s="718" t="str">
        <f t="shared" si="474"/>
        <v>N</v>
      </c>
      <c r="E369" s="703" t="str">
        <f t="shared" si="474"/>
        <v>N</v>
      </c>
      <c r="F369" s="703" t="str">
        <f t="shared" si="474"/>
        <v>N</v>
      </c>
      <c r="G369" s="703" t="str">
        <f t="shared" si="474"/>
        <v>N</v>
      </c>
      <c r="H369" s="703"/>
      <c r="I369" s="703"/>
      <c r="J369" s="703"/>
      <c r="K369" s="703"/>
      <c r="L369" s="703" t="str">
        <f t="shared" ref="L369:N369" si="477">L355</f>
        <v>N</v>
      </c>
      <c r="M369" s="703" t="str">
        <f t="shared" si="477"/>
        <v>N</v>
      </c>
      <c r="N369" s="703" t="str">
        <f t="shared" si="477"/>
        <v>N</v>
      </c>
      <c r="O369" s="703"/>
      <c r="P369" s="703" t="str">
        <f t="shared" ref="P369:AC369" si="478">P355</f>
        <v>N</v>
      </c>
      <c r="Q369" s="703" t="str">
        <f t="shared" si="478"/>
        <v>N</v>
      </c>
      <c r="R369" s="703" t="str">
        <f t="shared" si="478"/>
        <v>N</v>
      </c>
      <c r="S369" s="703" t="str">
        <f t="shared" si="478"/>
        <v>N</v>
      </c>
      <c r="T369" s="703" t="str">
        <f t="shared" si="478"/>
        <v>N</v>
      </c>
      <c r="U369" s="703" t="str">
        <f t="shared" si="478"/>
        <v>N</v>
      </c>
      <c r="V369" s="703" t="str">
        <f t="shared" si="478"/>
        <v>N</v>
      </c>
      <c r="W369" s="703" t="str">
        <f t="shared" si="478"/>
        <v>N</v>
      </c>
      <c r="X369" s="703" t="str">
        <f t="shared" si="478"/>
        <v>N</v>
      </c>
      <c r="Y369" s="703" t="str">
        <f t="shared" si="478"/>
        <v>N</v>
      </c>
      <c r="Z369" s="703" t="str">
        <f t="shared" si="478"/>
        <v>N</v>
      </c>
      <c r="AA369" s="703" t="str">
        <f t="shared" si="478"/>
        <v>N</v>
      </c>
      <c r="AB369" s="703" t="str">
        <f t="shared" si="478"/>
        <v>N</v>
      </c>
      <c r="AC369" s="703" t="str">
        <f t="shared" si="478"/>
        <v>N</v>
      </c>
      <c r="AD369" s="804"/>
      <c r="AE369" s="804"/>
      <c r="AF369" s="791"/>
      <c r="AG369" s="798"/>
      <c r="AH369" s="928"/>
      <c r="AI369" s="732"/>
      <c r="AJ369" s="733"/>
    </row>
    <row r="370" spans="1:52" hidden="1" outlineLevel="1" x14ac:dyDescent="0.25">
      <c r="A370" s="159"/>
      <c r="B370" s="1359"/>
      <c r="C370" s="667" t="str">
        <f>'Optimalizačné opatrenia'!$B$4</f>
        <v>Zjednotenie</v>
      </c>
      <c r="D370" s="718" t="str">
        <f t="shared" si="474"/>
        <v>N</v>
      </c>
      <c r="E370" s="703" t="str">
        <f t="shared" si="474"/>
        <v>N</v>
      </c>
      <c r="F370" s="703" t="str">
        <f t="shared" si="474"/>
        <v>A</v>
      </c>
      <c r="G370" s="703" t="str">
        <f t="shared" si="474"/>
        <v>A</v>
      </c>
      <c r="H370" s="703"/>
      <c r="I370" s="703"/>
      <c r="J370" s="703"/>
      <c r="K370" s="703"/>
      <c r="L370" s="703" t="str">
        <f t="shared" ref="L370:N370" si="479">L356</f>
        <v>A</v>
      </c>
      <c r="M370" s="703" t="str">
        <f t="shared" si="479"/>
        <v>N</v>
      </c>
      <c r="N370" s="703" t="str">
        <f t="shared" si="479"/>
        <v>N</v>
      </c>
      <c r="O370" s="703"/>
      <c r="P370" s="703" t="str">
        <f t="shared" ref="P370:AC370" si="480">P356</f>
        <v>A</v>
      </c>
      <c r="Q370" s="703" t="str">
        <f t="shared" si="480"/>
        <v>A</v>
      </c>
      <c r="R370" s="703" t="str">
        <f t="shared" si="480"/>
        <v>A</v>
      </c>
      <c r="S370" s="703" t="str">
        <f t="shared" si="480"/>
        <v>A</v>
      </c>
      <c r="T370" s="703" t="str">
        <f t="shared" si="480"/>
        <v>A</v>
      </c>
      <c r="U370" s="703" t="str">
        <f t="shared" si="480"/>
        <v>A</v>
      </c>
      <c r="V370" s="703" t="str">
        <f t="shared" si="480"/>
        <v>A</v>
      </c>
      <c r="W370" s="703" t="str">
        <f t="shared" si="480"/>
        <v>A</v>
      </c>
      <c r="X370" s="703" t="str">
        <f t="shared" si="480"/>
        <v>A</v>
      </c>
      <c r="Y370" s="703" t="str">
        <f t="shared" si="480"/>
        <v>A</v>
      </c>
      <c r="Z370" s="703" t="str">
        <f t="shared" si="480"/>
        <v>A</v>
      </c>
      <c r="AA370" s="703" t="str">
        <f t="shared" si="480"/>
        <v>A</v>
      </c>
      <c r="AB370" s="703" t="str">
        <f t="shared" si="480"/>
        <v>A</v>
      </c>
      <c r="AC370" s="703" t="str">
        <f t="shared" si="480"/>
        <v>A</v>
      </c>
      <c r="AD370" s="804"/>
      <c r="AE370" s="804"/>
      <c r="AF370" s="791"/>
      <c r="AG370" s="798"/>
      <c r="AH370" s="928"/>
      <c r="AI370" s="732"/>
      <c r="AJ370" s="733"/>
    </row>
    <row r="371" spans="1:52" hidden="1" outlineLevel="1" x14ac:dyDescent="0.25">
      <c r="A371" s="159"/>
      <c r="B371" s="1359"/>
      <c r="C371" s="667" t="str">
        <f>'Optimalizačné opatrenia'!$B$5</f>
        <v>Centralizácia</v>
      </c>
      <c r="D371" s="718" t="str">
        <f t="shared" si="474"/>
        <v>N</v>
      </c>
      <c r="E371" s="703" t="str">
        <f t="shared" si="474"/>
        <v>N</v>
      </c>
      <c r="F371" s="703" t="str">
        <f t="shared" si="474"/>
        <v>A</v>
      </c>
      <c r="G371" s="703" t="str">
        <f t="shared" si="474"/>
        <v>A</v>
      </c>
      <c r="H371" s="703"/>
      <c r="I371" s="703"/>
      <c r="J371" s="703"/>
      <c r="K371" s="703"/>
      <c r="L371" s="703" t="str">
        <f t="shared" ref="L371:N371" si="481">L357</f>
        <v>A</v>
      </c>
      <c r="M371" s="703" t="str">
        <f t="shared" si="481"/>
        <v>N</v>
      </c>
      <c r="N371" s="703" t="str">
        <f t="shared" si="481"/>
        <v>N</v>
      </c>
      <c r="O371" s="703"/>
      <c r="P371" s="703" t="str">
        <f t="shared" ref="P371:AC371" si="482">P357</f>
        <v>A</v>
      </c>
      <c r="Q371" s="703" t="str">
        <f t="shared" si="482"/>
        <v>A</v>
      </c>
      <c r="R371" s="703" t="str">
        <f t="shared" si="482"/>
        <v>A</v>
      </c>
      <c r="S371" s="703" t="str">
        <f t="shared" si="482"/>
        <v>A</v>
      </c>
      <c r="T371" s="703" t="str">
        <f t="shared" si="482"/>
        <v>A</v>
      </c>
      <c r="U371" s="703" t="str">
        <f t="shared" si="482"/>
        <v>A</v>
      </c>
      <c r="V371" s="703" t="str">
        <f t="shared" si="482"/>
        <v>A</v>
      </c>
      <c r="W371" s="703" t="str">
        <f t="shared" si="482"/>
        <v>A</v>
      </c>
      <c r="X371" s="703" t="str">
        <f t="shared" si="482"/>
        <v>A</v>
      </c>
      <c r="Y371" s="703" t="str">
        <f t="shared" si="482"/>
        <v>A</v>
      </c>
      <c r="Z371" s="703" t="str">
        <f t="shared" si="482"/>
        <v>A</v>
      </c>
      <c r="AA371" s="703" t="str">
        <f t="shared" si="482"/>
        <v>A</v>
      </c>
      <c r="AB371" s="703" t="str">
        <f t="shared" si="482"/>
        <v>A</v>
      </c>
      <c r="AC371" s="703" t="str">
        <f t="shared" si="482"/>
        <v>A</v>
      </c>
      <c r="AD371" s="804"/>
      <c r="AE371" s="804"/>
      <c r="AF371" s="791"/>
      <c r="AG371" s="798"/>
      <c r="AH371" s="928"/>
      <c r="AI371" s="732"/>
      <c r="AJ371" s="733"/>
    </row>
    <row r="372" spans="1:52" hidden="1" outlineLevel="1" x14ac:dyDescent="0.25">
      <c r="A372" s="159"/>
      <c r="B372" s="1359"/>
      <c r="C372" s="667" t="str">
        <f>'Optimalizačné opatrenia'!$B$6</f>
        <v>Elektronizácia</v>
      </c>
      <c r="D372" s="718" t="str">
        <f t="shared" si="474"/>
        <v>N</v>
      </c>
      <c r="E372" s="703" t="str">
        <f t="shared" si="474"/>
        <v>A</v>
      </c>
      <c r="F372" s="703" t="str">
        <f t="shared" si="474"/>
        <v>A</v>
      </c>
      <c r="G372" s="703" t="str">
        <f t="shared" si="474"/>
        <v>A</v>
      </c>
      <c r="H372" s="703"/>
      <c r="I372" s="703"/>
      <c r="J372" s="703"/>
      <c r="K372" s="703"/>
      <c r="L372" s="703" t="str">
        <f t="shared" ref="L372:N372" si="483">L358</f>
        <v>A</v>
      </c>
      <c r="M372" s="703" t="str">
        <f t="shared" si="483"/>
        <v>N</v>
      </c>
      <c r="N372" s="703" t="str">
        <f t="shared" si="483"/>
        <v>N</v>
      </c>
      <c r="O372" s="703"/>
      <c r="P372" s="703" t="str">
        <f t="shared" ref="P372:AC372" si="484">P358</f>
        <v>A</v>
      </c>
      <c r="Q372" s="703" t="str">
        <f t="shared" si="484"/>
        <v>A</v>
      </c>
      <c r="R372" s="703" t="str">
        <f t="shared" si="484"/>
        <v>A</v>
      </c>
      <c r="S372" s="703" t="str">
        <f t="shared" si="484"/>
        <v>A</v>
      </c>
      <c r="T372" s="703" t="str">
        <f t="shared" si="484"/>
        <v>A</v>
      </c>
      <c r="U372" s="703" t="str">
        <f t="shared" si="484"/>
        <v>A</v>
      </c>
      <c r="V372" s="703" t="str">
        <f t="shared" si="484"/>
        <v>A</v>
      </c>
      <c r="W372" s="703" t="str">
        <f t="shared" si="484"/>
        <v>A</v>
      </c>
      <c r="X372" s="703" t="str">
        <f t="shared" si="484"/>
        <v>A</v>
      </c>
      <c r="Y372" s="703" t="str">
        <f t="shared" si="484"/>
        <v>A</v>
      </c>
      <c r="Z372" s="703" t="str">
        <f t="shared" si="484"/>
        <v>A</v>
      </c>
      <c r="AA372" s="703" t="str">
        <f t="shared" si="484"/>
        <v>A</v>
      </c>
      <c r="AB372" s="703" t="str">
        <f t="shared" si="484"/>
        <v>A</v>
      </c>
      <c r="AC372" s="703" t="str">
        <f t="shared" si="484"/>
        <v>A</v>
      </c>
      <c r="AD372" s="804"/>
      <c r="AE372" s="804"/>
      <c r="AF372" s="791"/>
      <c r="AG372" s="798"/>
      <c r="AH372" s="928"/>
      <c r="AI372" s="732"/>
      <c r="AJ372" s="733"/>
    </row>
    <row r="373" spans="1:52" hidden="1" outlineLevel="1" x14ac:dyDescent="0.25">
      <c r="A373" s="159"/>
      <c r="B373" s="1359"/>
      <c r="C373" s="667" t="str">
        <f>'Optimalizačné opatrenia'!$B$7</f>
        <v>Automatizácia</v>
      </c>
      <c r="D373" s="718" t="str">
        <f t="shared" si="474"/>
        <v>N</v>
      </c>
      <c r="E373" s="703" t="str">
        <f t="shared" si="474"/>
        <v>A</v>
      </c>
      <c r="F373" s="703" t="str">
        <f t="shared" si="474"/>
        <v>A</v>
      </c>
      <c r="G373" s="703" t="str">
        <f t="shared" si="474"/>
        <v>A</v>
      </c>
      <c r="H373" s="703"/>
      <c r="I373" s="703"/>
      <c r="J373" s="703"/>
      <c r="K373" s="703"/>
      <c r="L373" s="703" t="str">
        <f t="shared" ref="L373:N373" si="485">L359</f>
        <v>A</v>
      </c>
      <c r="M373" s="703" t="str">
        <f t="shared" si="485"/>
        <v>N</v>
      </c>
      <c r="N373" s="703" t="str">
        <f t="shared" si="485"/>
        <v>N</v>
      </c>
      <c r="O373" s="703"/>
      <c r="P373" s="703" t="str">
        <f t="shared" ref="P373:AC373" si="486">P359</f>
        <v>A</v>
      </c>
      <c r="Q373" s="703" t="str">
        <f t="shared" si="486"/>
        <v>A</v>
      </c>
      <c r="R373" s="703" t="str">
        <f t="shared" si="486"/>
        <v>A</v>
      </c>
      <c r="S373" s="703" t="str">
        <f t="shared" si="486"/>
        <v>A</v>
      </c>
      <c r="T373" s="703" t="str">
        <f t="shared" si="486"/>
        <v>A</v>
      </c>
      <c r="U373" s="703" t="str">
        <f t="shared" si="486"/>
        <v>A</v>
      </c>
      <c r="V373" s="703" t="str">
        <f t="shared" si="486"/>
        <v>A</v>
      </c>
      <c r="W373" s="703" t="str">
        <f t="shared" si="486"/>
        <v>A</v>
      </c>
      <c r="X373" s="703" t="str">
        <f t="shared" si="486"/>
        <v>A</v>
      </c>
      <c r="Y373" s="703" t="str">
        <f t="shared" si="486"/>
        <v>A</v>
      </c>
      <c r="Z373" s="703" t="str">
        <f t="shared" si="486"/>
        <v>A</v>
      </c>
      <c r="AA373" s="703" t="str">
        <f t="shared" si="486"/>
        <v>A</v>
      </c>
      <c r="AB373" s="703" t="str">
        <f t="shared" si="486"/>
        <v>A</v>
      </c>
      <c r="AC373" s="703" t="str">
        <f t="shared" si="486"/>
        <v>A</v>
      </c>
      <c r="AD373" s="804"/>
      <c r="AE373" s="804"/>
      <c r="AF373" s="791"/>
      <c r="AG373" s="798"/>
      <c r="AH373" s="928"/>
      <c r="AI373" s="732"/>
      <c r="AJ373" s="733"/>
    </row>
    <row r="374" spans="1:52" hidden="1" outlineLevel="1" x14ac:dyDescent="0.25">
      <c r="A374" s="159"/>
      <c r="B374" s="1359"/>
      <c r="C374" s="667" t="str">
        <f>'Optimalizačné opatrenia'!$B$8</f>
        <v>Bezpečnosť</v>
      </c>
      <c r="D374" s="718" t="str">
        <f t="shared" si="474"/>
        <v>N</v>
      </c>
      <c r="E374" s="703" t="str">
        <f t="shared" si="474"/>
        <v>N</v>
      </c>
      <c r="F374" s="703" t="str">
        <f t="shared" si="474"/>
        <v>A</v>
      </c>
      <c r="G374" s="703" t="str">
        <f t="shared" si="474"/>
        <v>A</v>
      </c>
      <c r="H374" s="703"/>
      <c r="I374" s="703"/>
      <c r="J374" s="703"/>
      <c r="K374" s="703"/>
      <c r="L374" s="703" t="str">
        <f t="shared" ref="L374:N374" si="487">L360</f>
        <v>A</v>
      </c>
      <c r="M374" s="703" t="str">
        <f t="shared" si="487"/>
        <v>N</v>
      </c>
      <c r="N374" s="703" t="str">
        <f t="shared" si="487"/>
        <v>N</v>
      </c>
      <c r="O374" s="703"/>
      <c r="P374" s="703" t="str">
        <f t="shared" ref="P374:AC374" si="488">P360</f>
        <v>A</v>
      </c>
      <c r="Q374" s="703" t="str">
        <f t="shared" si="488"/>
        <v>A</v>
      </c>
      <c r="R374" s="703" t="str">
        <f t="shared" si="488"/>
        <v>A</v>
      </c>
      <c r="S374" s="703" t="str">
        <f t="shared" si="488"/>
        <v>A</v>
      </c>
      <c r="T374" s="703" t="str">
        <f t="shared" si="488"/>
        <v>A</v>
      </c>
      <c r="U374" s="703" t="str">
        <f t="shared" si="488"/>
        <v>A</v>
      </c>
      <c r="V374" s="703" t="str">
        <f t="shared" si="488"/>
        <v>A</v>
      </c>
      <c r="W374" s="703" t="str">
        <f t="shared" si="488"/>
        <v>A</v>
      </c>
      <c r="X374" s="703" t="str">
        <f t="shared" si="488"/>
        <v>A</v>
      </c>
      <c r="Y374" s="703" t="str">
        <f t="shared" si="488"/>
        <v>A</v>
      </c>
      <c r="Z374" s="703" t="str">
        <f t="shared" si="488"/>
        <v>A</v>
      </c>
      <c r="AA374" s="703" t="str">
        <f t="shared" si="488"/>
        <v>A</v>
      </c>
      <c r="AB374" s="703" t="str">
        <f t="shared" si="488"/>
        <v>A</v>
      </c>
      <c r="AC374" s="703" t="str">
        <f t="shared" si="488"/>
        <v>A</v>
      </c>
      <c r="AD374" s="804"/>
      <c r="AE374" s="804"/>
      <c r="AF374" s="791"/>
      <c r="AG374" s="798"/>
      <c r="AH374" s="928"/>
      <c r="AI374" s="732"/>
      <c r="AJ374" s="733"/>
    </row>
    <row r="375" spans="1:52" hidden="1" outlineLevel="1" x14ac:dyDescent="0.25">
      <c r="A375" s="159"/>
      <c r="B375" s="1359"/>
      <c r="C375" s="667" t="str">
        <f>'Optimalizačné opatrenia'!$B$9</f>
        <v>Auditovateľnosť</v>
      </c>
      <c r="D375" s="718" t="str">
        <f t="shared" si="474"/>
        <v>N</v>
      </c>
      <c r="E375" s="703" t="str">
        <f t="shared" si="474"/>
        <v>A</v>
      </c>
      <c r="F375" s="703" t="str">
        <f t="shared" si="474"/>
        <v>A</v>
      </c>
      <c r="G375" s="703" t="str">
        <f t="shared" si="474"/>
        <v>A</v>
      </c>
      <c r="H375" s="703"/>
      <c r="I375" s="703"/>
      <c r="J375" s="703"/>
      <c r="K375" s="703"/>
      <c r="L375" s="703" t="str">
        <f t="shared" ref="L375:N375" si="489">L361</f>
        <v>A</v>
      </c>
      <c r="M375" s="703" t="str">
        <f t="shared" si="489"/>
        <v>N</v>
      </c>
      <c r="N375" s="703" t="str">
        <f t="shared" si="489"/>
        <v>N</v>
      </c>
      <c r="O375" s="703"/>
      <c r="P375" s="703" t="str">
        <f t="shared" ref="P375:AC375" si="490">P361</f>
        <v>A</v>
      </c>
      <c r="Q375" s="703" t="str">
        <f t="shared" si="490"/>
        <v>A</v>
      </c>
      <c r="R375" s="703" t="str">
        <f t="shared" si="490"/>
        <v>A</v>
      </c>
      <c r="S375" s="703" t="str">
        <f t="shared" si="490"/>
        <v>A</v>
      </c>
      <c r="T375" s="703" t="str">
        <f t="shared" si="490"/>
        <v>A</v>
      </c>
      <c r="U375" s="703" t="str">
        <f t="shared" si="490"/>
        <v>A</v>
      </c>
      <c r="V375" s="703" t="str">
        <f t="shared" si="490"/>
        <v>A</v>
      </c>
      <c r="W375" s="703" t="str">
        <f t="shared" si="490"/>
        <v>A</v>
      </c>
      <c r="X375" s="703" t="str">
        <f t="shared" si="490"/>
        <v>A</v>
      </c>
      <c r="Y375" s="703" t="str">
        <f t="shared" si="490"/>
        <v>A</v>
      </c>
      <c r="Z375" s="703" t="str">
        <f t="shared" si="490"/>
        <v>A</v>
      </c>
      <c r="AA375" s="703" t="str">
        <f t="shared" si="490"/>
        <v>A</v>
      </c>
      <c r="AB375" s="703" t="str">
        <f t="shared" si="490"/>
        <v>A</v>
      </c>
      <c r="AC375" s="703" t="str">
        <f t="shared" si="490"/>
        <v>A</v>
      </c>
      <c r="AD375" s="804"/>
      <c r="AE375" s="804"/>
      <c r="AF375" s="791"/>
      <c r="AG375" s="798"/>
      <c r="AH375" s="928"/>
      <c r="AI375" s="732"/>
      <c r="AJ375" s="733"/>
    </row>
    <row r="376" spans="1:52" hidden="1" outlineLevel="1" x14ac:dyDescent="0.25">
      <c r="A376" s="159"/>
      <c r="B376" s="1359"/>
      <c r="C376" s="667" t="str">
        <f>'Optimalizačné opatrenia'!$B$10</f>
        <v>Transparentnosť</v>
      </c>
      <c r="D376" s="718" t="str">
        <f t="shared" si="474"/>
        <v>N</v>
      </c>
      <c r="E376" s="703" t="str">
        <f t="shared" si="474"/>
        <v>N</v>
      </c>
      <c r="F376" s="703" t="str">
        <f t="shared" si="474"/>
        <v>N</v>
      </c>
      <c r="G376" s="703" t="str">
        <f t="shared" si="474"/>
        <v>N</v>
      </c>
      <c r="H376" s="703"/>
      <c r="I376" s="703"/>
      <c r="J376" s="703"/>
      <c r="K376" s="703"/>
      <c r="L376" s="703" t="str">
        <f t="shared" ref="L376:N376" si="491">L362</f>
        <v>N</v>
      </c>
      <c r="M376" s="703" t="str">
        <f t="shared" si="491"/>
        <v>N</v>
      </c>
      <c r="N376" s="703" t="str">
        <f t="shared" si="491"/>
        <v>N</v>
      </c>
      <c r="O376" s="703"/>
      <c r="P376" s="703" t="str">
        <f t="shared" ref="P376:AC376" si="492">P362</f>
        <v>A</v>
      </c>
      <c r="Q376" s="703" t="str">
        <f t="shared" si="492"/>
        <v>N</v>
      </c>
      <c r="R376" s="703" t="str">
        <f t="shared" si="492"/>
        <v>N</v>
      </c>
      <c r="S376" s="703" t="str">
        <f t="shared" si="492"/>
        <v>N</v>
      </c>
      <c r="T376" s="703" t="str">
        <f t="shared" si="492"/>
        <v>N</v>
      </c>
      <c r="U376" s="703" t="str">
        <f t="shared" si="492"/>
        <v>N</v>
      </c>
      <c r="V376" s="703" t="str">
        <f t="shared" si="492"/>
        <v>A</v>
      </c>
      <c r="W376" s="703" t="str">
        <f t="shared" si="492"/>
        <v>N</v>
      </c>
      <c r="X376" s="703" t="str">
        <f t="shared" si="492"/>
        <v>N</v>
      </c>
      <c r="Y376" s="703" t="str">
        <f t="shared" si="492"/>
        <v>N</v>
      </c>
      <c r="Z376" s="703" t="str">
        <f t="shared" si="492"/>
        <v>N</v>
      </c>
      <c r="AA376" s="703" t="str">
        <f t="shared" si="492"/>
        <v>A</v>
      </c>
      <c r="AB376" s="703" t="str">
        <f t="shared" si="492"/>
        <v>N</v>
      </c>
      <c r="AC376" s="703" t="str">
        <f t="shared" si="492"/>
        <v>N</v>
      </c>
      <c r="AD376" s="804"/>
      <c r="AE376" s="804"/>
      <c r="AF376" s="791"/>
      <c r="AG376" s="798"/>
      <c r="AH376" s="928"/>
      <c r="AI376" s="732"/>
      <c r="AJ376" s="733"/>
    </row>
    <row r="377" spans="1:52" hidden="1" outlineLevel="1" x14ac:dyDescent="0.25">
      <c r="A377" s="159"/>
      <c r="B377" s="1359"/>
      <c r="C377" s="667" t="str">
        <f>'Optimalizačné opatrenia'!$B$11</f>
        <v>Analyzovatelnosť</v>
      </c>
      <c r="D377" s="718" t="str">
        <f t="shared" si="474"/>
        <v>N</v>
      </c>
      <c r="E377" s="703" t="str">
        <f t="shared" si="474"/>
        <v>N</v>
      </c>
      <c r="F377" s="703" t="str">
        <f t="shared" si="474"/>
        <v>A</v>
      </c>
      <c r="G377" s="703" t="str">
        <f t="shared" si="474"/>
        <v>A</v>
      </c>
      <c r="H377" s="703"/>
      <c r="I377" s="703"/>
      <c r="J377" s="703"/>
      <c r="K377" s="703"/>
      <c r="L377" s="703" t="str">
        <f t="shared" ref="L377:N377" si="493">L363</f>
        <v>A</v>
      </c>
      <c r="M377" s="703" t="str">
        <f t="shared" si="493"/>
        <v>N</v>
      </c>
      <c r="N377" s="703" t="str">
        <f t="shared" si="493"/>
        <v>N</v>
      </c>
      <c r="O377" s="703"/>
      <c r="P377" s="703" t="str">
        <f t="shared" ref="P377:AC377" si="494">P363</f>
        <v>A</v>
      </c>
      <c r="Q377" s="703" t="str">
        <f t="shared" si="494"/>
        <v>A</v>
      </c>
      <c r="R377" s="703" t="str">
        <f t="shared" si="494"/>
        <v>A</v>
      </c>
      <c r="S377" s="703" t="str">
        <f t="shared" si="494"/>
        <v>A</v>
      </c>
      <c r="T377" s="703" t="str">
        <f t="shared" si="494"/>
        <v>A</v>
      </c>
      <c r="U377" s="703" t="str">
        <f t="shared" si="494"/>
        <v>A</v>
      </c>
      <c r="V377" s="703" t="str">
        <f t="shared" si="494"/>
        <v>A</v>
      </c>
      <c r="W377" s="703" t="str">
        <f t="shared" si="494"/>
        <v>A</v>
      </c>
      <c r="X377" s="703" t="str">
        <f t="shared" si="494"/>
        <v>A</v>
      </c>
      <c r="Y377" s="703" t="str">
        <f t="shared" si="494"/>
        <v>A</v>
      </c>
      <c r="Z377" s="703" t="str">
        <f t="shared" si="494"/>
        <v>A</v>
      </c>
      <c r="AA377" s="703" t="str">
        <f t="shared" si="494"/>
        <v>A</v>
      </c>
      <c r="AB377" s="703" t="str">
        <f t="shared" si="494"/>
        <v>A</v>
      </c>
      <c r="AC377" s="703" t="str">
        <f t="shared" si="494"/>
        <v>A</v>
      </c>
      <c r="AD377" s="804"/>
      <c r="AE377" s="804"/>
      <c r="AF377" s="791"/>
      <c r="AG377" s="798"/>
      <c r="AH377" s="928"/>
      <c r="AI377" s="732"/>
      <c r="AJ377" s="733"/>
    </row>
    <row r="378" spans="1:52" hidden="1" outlineLevel="1" x14ac:dyDescent="0.25">
      <c r="A378" s="159"/>
      <c r="B378" s="1359"/>
      <c r="C378" s="667" t="str">
        <f>'Optimalizačné opatrenia'!$B$12</f>
        <v>Integrácia</v>
      </c>
      <c r="D378" s="718" t="str">
        <f t="shared" si="474"/>
        <v>N</v>
      </c>
      <c r="E378" s="703" t="str">
        <f t="shared" si="474"/>
        <v>A</v>
      </c>
      <c r="F378" s="703" t="str">
        <f t="shared" si="474"/>
        <v>A</v>
      </c>
      <c r="G378" s="703" t="str">
        <f t="shared" si="474"/>
        <v>A</v>
      </c>
      <c r="H378" s="703"/>
      <c r="I378" s="703"/>
      <c r="J378" s="703"/>
      <c r="K378" s="703"/>
      <c r="L378" s="703" t="str">
        <f t="shared" ref="L378:N378" si="495">L364</f>
        <v>A</v>
      </c>
      <c r="M378" s="703" t="str">
        <f t="shared" si="495"/>
        <v>N</v>
      </c>
      <c r="N378" s="703" t="str">
        <f t="shared" si="495"/>
        <v>N</v>
      </c>
      <c r="O378" s="703"/>
      <c r="P378" s="703" t="str">
        <f t="shared" ref="P378:AC378" si="496">P364</f>
        <v>A</v>
      </c>
      <c r="Q378" s="703" t="str">
        <f t="shared" si="496"/>
        <v>A</v>
      </c>
      <c r="R378" s="703" t="str">
        <f t="shared" si="496"/>
        <v>A</v>
      </c>
      <c r="S378" s="703" t="str">
        <f t="shared" si="496"/>
        <v>A</v>
      </c>
      <c r="T378" s="703" t="str">
        <f t="shared" si="496"/>
        <v>A</v>
      </c>
      <c r="U378" s="703" t="str">
        <f t="shared" si="496"/>
        <v>A</v>
      </c>
      <c r="V378" s="703" t="str">
        <f t="shared" si="496"/>
        <v>A</v>
      </c>
      <c r="W378" s="703" t="str">
        <f t="shared" si="496"/>
        <v>A</v>
      </c>
      <c r="X378" s="703" t="str">
        <f t="shared" si="496"/>
        <v>A</v>
      </c>
      <c r="Y378" s="703" t="str">
        <f t="shared" si="496"/>
        <v>A</v>
      </c>
      <c r="Z378" s="703" t="str">
        <f t="shared" si="496"/>
        <v>A</v>
      </c>
      <c r="AA378" s="703" t="str">
        <f t="shared" si="496"/>
        <v>A</v>
      </c>
      <c r="AB378" s="703" t="str">
        <f t="shared" si="496"/>
        <v>A</v>
      </c>
      <c r="AC378" s="703" t="str">
        <f t="shared" si="496"/>
        <v>A</v>
      </c>
      <c r="AD378" s="804"/>
      <c r="AE378" s="804"/>
      <c r="AF378" s="791"/>
      <c r="AG378" s="798"/>
      <c r="AH378" s="928"/>
      <c r="AI378" s="732"/>
      <c r="AJ378" s="733"/>
    </row>
    <row r="379" spans="1:52" hidden="1" outlineLevel="1" x14ac:dyDescent="0.25">
      <c r="A379" s="159"/>
      <c r="B379" s="1359"/>
      <c r="C379" s="672" t="str">
        <f>'Optimalizačné opatrenia'!$B$13</f>
        <v>Proaktivita</v>
      </c>
      <c r="D379" s="718" t="str">
        <f t="shared" si="474"/>
        <v>N</v>
      </c>
      <c r="E379" s="703" t="str">
        <f t="shared" si="474"/>
        <v>N</v>
      </c>
      <c r="F379" s="703" t="str">
        <f t="shared" si="474"/>
        <v>A</v>
      </c>
      <c r="G379" s="703" t="str">
        <f t="shared" si="474"/>
        <v>N</v>
      </c>
      <c r="H379" s="703"/>
      <c r="I379" s="703"/>
      <c r="J379" s="703"/>
      <c r="K379" s="703"/>
      <c r="L379" s="703" t="str">
        <f t="shared" ref="L379:N379" si="497">L365</f>
        <v>A</v>
      </c>
      <c r="M379" s="703" t="str">
        <f t="shared" si="497"/>
        <v>N</v>
      </c>
      <c r="N379" s="703" t="str">
        <f t="shared" si="497"/>
        <v>N</v>
      </c>
      <c r="O379" s="703"/>
      <c r="P379" s="703" t="str">
        <f t="shared" ref="P379:AC379" si="498">P365</f>
        <v>N</v>
      </c>
      <c r="Q379" s="703" t="str">
        <f t="shared" si="498"/>
        <v>N</v>
      </c>
      <c r="R379" s="703" t="str">
        <f t="shared" si="498"/>
        <v>A</v>
      </c>
      <c r="S379" s="703" t="str">
        <f t="shared" si="498"/>
        <v>A</v>
      </c>
      <c r="T379" s="703" t="str">
        <f t="shared" si="498"/>
        <v>A</v>
      </c>
      <c r="U379" s="703" t="str">
        <f t="shared" si="498"/>
        <v>N</v>
      </c>
      <c r="V379" s="703" t="str">
        <f t="shared" si="498"/>
        <v>A</v>
      </c>
      <c r="W379" s="703" t="str">
        <f t="shared" si="498"/>
        <v>N</v>
      </c>
      <c r="X379" s="703" t="str">
        <f t="shared" si="498"/>
        <v>N</v>
      </c>
      <c r="Y379" s="703" t="str">
        <f t="shared" si="498"/>
        <v>A</v>
      </c>
      <c r="Z379" s="703" t="str">
        <f t="shared" si="498"/>
        <v>A</v>
      </c>
      <c r="AA379" s="703" t="str">
        <f t="shared" si="498"/>
        <v>A</v>
      </c>
      <c r="AB379" s="703" t="str">
        <f t="shared" si="498"/>
        <v>N</v>
      </c>
      <c r="AC379" s="703" t="str">
        <f t="shared" si="498"/>
        <v>A</v>
      </c>
      <c r="AD379" s="804"/>
      <c r="AE379" s="804"/>
      <c r="AF379" s="791"/>
      <c r="AG379" s="798"/>
      <c r="AH379" s="928"/>
      <c r="AI379" s="732"/>
      <c r="AJ379" s="733"/>
    </row>
    <row r="380" spans="1:52" hidden="1" outlineLevel="1" x14ac:dyDescent="0.25">
      <c r="A380" s="159"/>
      <c r="B380" s="720"/>
      <c r="C380" s="722" t="s">
        <v>538</v>
      </c>
      <c r="D380" s="723">
        <f t="shared" si="474"/>
        <v>0</v>
      </c>
      <c r="E380" s="721">
        <f t="shared" si="474"/>
        <v>0.2</v>
      </c>
      <c r="F380" s="724">
        <f t="shared" si="474"/>
        <v>0.4</v>
      </c>
      <c r="G380" s="724">
        <f t="shared" si="474"/>
        <v>0.3</v>
      </c>
      <c r="H380" s="724"/>
      <c r="I380" s="724"/>
      <c r="J380" s="724"/>
      <c r="K380" s="724"/>
      <c r="L380" s="724">
        <f t="shared" ref="L380:N380" si="499">L366</f>
        <v>0.4</v>
      </c>
      <c r="M380" s="724">
        <f t="shared" si="499"/>
        <v>0</v>
      </c>
      <c r="N380" s="724">
        <f t="shared" si="499"/>
        <v>0</v>
      </c>
      <c r="O380" s="724"/>
      <c r="P380" s="724">
        <f t="shared" ref="P380:AC380" si="500">P366</f>
        <v>0.45</v>
      </c>
      <c r="Q380" s="724">
        <f t="shared" si="500"/>
        <v>0.3</v>
      </c>
      <c r="R380" s="724">
        <f t="shared" si="500"/>
        <v>0.4</v>
      </c>
      <c r="S380" s="724">
        <f t="shared" si="500"/>
        <v>0.4</v>
      </c>
      <c r="T380" s="724">
        <f t="shared" si="500"/>
        <v>0.4</v>
      </c>
      <c r="U380" s="724">
        <f t="shared" si="500"/>
        <v>0.3</v>
      </c>
      <c r="V380" s="724">
        <f t="shared" si="500"/>
        <v>0.5</v>
      </c>
      <c r="W380" s="724">
        <f t="shared" si="500"/>
        <v>0.3</v>
      </c>
      <c r="X380" s="724">
        <f t="shared" si="500"/>
        <v>0.3</v>
      </c>
      <c r="Y380" s="724">
        <f t="shared" si="500"/>
        <v>0.4</v>
      </c>
      <c r="Z380" s="724">
        <f t="shared" si="500"/>
        <v>0.4</v>
      </c>
      <c r="AA380" s="724">
        <f t="shared" si="500"/>
        <v>0.5</v>
      </c>
      <c r="AB380" s="724">
        <f t="shared" si="500"/>
        <v>0.3</v>
      </c>
      <c r="AC380" s="724">
        <f t="shared" si="500"/>
        <v>0.4</v>
      </c>
      <c r="AD380" s="805"/>
      <c r="AE380" s="805"/>
      <c r="AF380" s="792"/>
      <c r="AG380" s="799"/>
      <c r="AH380" s="929"/>
      <c r="AI380" s="735"/>
      <c r="AJ380" s="736"/>
    </row>
    <row r="381" spans="1:52" ht="35.450000000000003" customHeight="1" collapsed="1" x14ac:dyDescent="0.25">
      <c r="A381" s="159">
        <f ca="1">OFFSET(A381,-14,0)+1</f>
        <v>27</v>
      </c>
      <c r="B381" s="668" t="str">
        <f ca="1">'Procesy - AS IS'!B93</f>
        <v>Meranie č. 27</v>
      </c>
      <c r="C381" s="671" t="str">
        <f>'Procesy - AS IS'!C93</f>
        <v>Farma Majcikov, Používanie GT a GMO zámerným uvoľňovaním, 6121/2018</v>
      </c>
      <c r="D381" s="726">
        <f>-'Procesy - AS IS'!D95*D394</f>
        <v>0</v>
      </c>
      <c r="E381" s="653">
        <f>-'Procesy - AS IS'!E95*E394</f>
        <v>-1.6</v>
      </c>
      <c r="F381" s="653">
        <f>-'Procesy - AS IS'!F95*F394</f>
        <v>-3.2</v>
      </c>
      <c r="G381" s="653">
        <f>-'Procesy - AS IS'!G95*G394</f>
        <v>-1.2</v>
      </c>
      <c r="H381" s="653" t="s">
        <v>555</v>
      </c>
      <c r="I381" s="653" t="s">
        <v>555</v>
      </c>
      <c r="J381" s="653" t="s">
        <v>555</v>
      </c>
      <c r="K381" s="653" t="s">
        <v>555</v>
      </c>
      <c r="L381" s="653">
        <f>-'Procesy - AS IS'!L95*L394</f>
        <v>-1.6</v>
      </c>
      <c r="M381" s="653">
        <f>-'Procesy - AS IS'!M95*M394</f>
        <v>0</v>
      </c>
      <c r="N381" s="653" t="s">
        <v>557</v>
      </c>
      <c r="O381" s="653" t="s">
        <v>559</v>
      </c>
      <c r="P381" s="653">
        <f>-'Procesy - AS IS'!P95*P394</f>
        <v>-1.8</v>
      </c>
      <c r="Q381" s="653">
        <f>-'Procesy - AS IS'!Q95*Q394</f>
        <v>0</v>
      </c>
      <c r="R381" s="653">
        <f>-'Procesy - AS IS'!R95*R394</f>
        <v>0</v>
      </c>
      <c r="S381" s="653">
        <f>-'Procesy - AS IS'!S95*S394</f>
        <v>-5.5017543859649125</v>
      </c>
      <c r="T381" s="653">
        <f>-'Procesy - AS IS'!T95*T394</f>
        <v>0</v>
      </c>
      <c r="U381" s="653">
        <f>-'Procesy - AS IS'!U95*U394</f>
        <v>0</v>
      </c>
      <c r="V381" s="653">
        <f>-'Procesy - AS IS'!V95*V394</f>
        <v>-2</v>
      </c>
      <c r="W381" s="653">
        <f>-'Procesy - AS IS'!W95*W394</f>
        <v>0</v>
      </c>
      <c r="X381" s="653">
        <f>-'Procesy - AS IS'!X95*X394</f>
        <v>0</v>
      </c>
      <c r="Y381" s="653">
        <f>-'Procesy - AS IS'!Y95*Y394</f>
        <v>0</v>
      </c>
      <c r="Z381" s="653">
        <f>-'Procesy - AS IS'!Z95*Z394</f>
        <v>0</v>
      </c>
      <c r="AA381" s="653">
        <f>-'Procesy - AS IS'!AA95*AA394</f>
        <v>0</v>
      </c>
      <c r="AB381" s="653">
        <f>-'Procesy - AS IS'!AB95*AB394</f>
        <v>0</v>
      </c>
      <c r="AC381" s="653">
        <f>-'Procesy - AS IS'!AC95*AC394</f>
        <v>0</v>
      </c>
      <c r="AD381" s="754"/>
      <c r="AE381" s="754">
        <f>SUM(D381:AC381)</f>
        <v>-16.901754385964914</v>
      </c>
      <c r="AF381" s="728">
        <f>AE381/'Procesy - AS IS'!AD95</f>
        <v>-0.36940184049079755</v>
      </c>
      <c r="AG381" s="797">
        <f>('Procesy - AS IS'!AG92/(1+$AF381)-'Procesy - AS IS'!AG92)/2</f>
        <v>33.390368478657422</v>
      </c>
      <c r="AH381" s="927">
        <f>('Procesy - AS IS'!AH92/(1+$AF381)-'Procesy - AS IS'!AH92)/2</f>
        <v>4.6863675057764791</v>
      </c>
      <c r="AI381" s="730">
        <f>('Procesy - AS IS'!AI92/(1+$AF381)-'Procesy - AS IS'!AI92)/2</f>
        <v>0</v>
      </c>
      <c r="AJ381" s="731">
        <f>('Procesy - AS IS'!AJ92/(1+$AF381)-'Procesy - AS IS'!AJ92)/2</f>
        <v>0</v>
      </c>
      <c r="AL381" s="232"/>
      <c r="AZ381" s="227"/>
    </row>
    <row r="382" spans="1:52" hidden="1" outlineLevel="1" x14ac:dyDescent="0.25">
      <c r="A382" s="159"/>
      <c r="B382" s="1358" t="s">
        <v>528</v>
      </c>
      <c r="C382" s="667" t="str">
        <f>'Optimalizačné opatrenia'!$B$2</f>
        <v>Modernizácia</v>
      </c>
      <c r="D382" s="718" t="str">
        <f t="shared" ref="D382:G382" si="501">D368</f>
        <v>N</v>
      </c>
      <c r="E382" s="703" t="str">
        <f t="shared" si="501"/>
        <v>A</v>
      </c>
      <c r="F382" s="703" t="str">
        <f t="shared" si="501"/>
        <v>A</v>
      </c>
      <c r="G382" s="703" t="str">
        <f t="shared" si="501"/>
        <v>A</v>
      </c>
      <c r="H382" s="703"/>
      <c r="I382" s="703"/>
      <c r="J382" s="703"/>
      <c r="K382" s="703"/>
      <c r="L382" s="703" t="str">
        <f t="shared" ref="L382:N382" si="502">L368</f>
        <v>A</v>
      </c>
      <c r="M382" s="703" t="str">
        <f t="shared" si="502"/>
        <v>N</v>
      </c>
      <c r="N382" s="703" t="str">
        <f t="shared" si="502"/>
        <v>N</v>
      </c>
      <c r="O382" s="703"/>
      <c r="P382" s="703" t="str">
        <f t="shared" ref="P382:AC382" si="503">P368</f>
        <v>A</v>
      </c>
      <c r="Q382" s="703" t="str">
        <f t="shared" si="503"/>
        <v>A</v>
      </c>
      <c r="R382" s="703" t="str">
        <f t="shared" si="503"/>
        <v>A</v>
      </c>
      <c r="S382" s="703" t="str">
        <f t="shared" si="503"/>
        <v>A</v>
      </c>
      <c r="T382" s="703" t="str">
        <f t="shared" si="503"/>
        <v>A</v>
      </c>
      <c r="U382" s="703" t="str">
        <f t="shared" si="503"/>
        <v>A</v>
      </c>
      <c r="V382" s="703" t="str">
        <f t="shared" si="503"/>
        <v>A</v>
      </c>
      <c r="W382" s="703" t="str">
        <f t="shared" si="503"/>
        <v>A</v>
      </c>
      <c r="X382" s="703" t="str">
        <f t="shared" si="503"/>
        <v>A</v>
      </c>
      <c r="Y382" s="703" t="str">
        <f t="shared" si="503"/>
        <v>A</v>
      </c>
      <c r="Z382" s="703" t="str">
        <f t="shared" si="503"/>
        <v>A</v>
      </c>
      <c r="AA382" s="703" t="str">
        <f t="shared" si="503"/>
        <v>A</v>
      </c>
      <c r="AB382" s="703" t="str">
        <f t="shared" si="503"/>
        <v>A</v>
      </c>
      <c r="AC382" s="703" t="str">
        <f t="shared" si="503"/>
        <v>A</v>
      </c>
      <c r="AD382" s="804"/>
      <c r="AE382" s="804"/>
      <c r="AF382" s="791"/>
      <c r="AG382" s="798"/>
      <c r="AH382" s="928"/>
      <c r="AI382" s="732"/>
      <c r="AJ382" s="733"/>
    </row>
    <row r="383" spans="1:52" hidden="1" outlineLevel="1" x14ac:dyDescent="0.25">
      <c r="A383" s="159"/>
      <c r="B383" s="1359"/>
      <c r="C383" s="667" t="str">
        <f>'Optimalizačné opatrenia'!$B$3</f>
        <v>Sfunkčnenie</v>
      </c>
      <c r="D383" s="718" t="str">
        <f t="shared" ref="D383:G383" si="504">D369</f>
        <v>N</v>
      </c>
      <c r="E383" s="703" t="str">
        <f t="shared" si="504"/>
        <v>N</v>
      </c>
      <c r="F383" s="703" t="str">
        <f t="shared" si="504"/>
        <v>N</v>
      </c>
      <c r="G383" s="703" t="str">
        <f t="shared" si="504"/>
        <v>N</v>
      </c>
      <c r="H383" s="703"/>
      <c r="I383" s="703"/>
      <c r="J383" s="703"/>
      <c r="K383" s="703"/>
      <c r="L383" s="703" t="str">
        <f t="shared" ref="L383:N383" si="505">L369</f>
        <v>N</v>
      </c>
      <c r="M383" s="703" t="str">
        <f t="shared" si="505"/>
        <v>N</v>
      </c>
      <c r="N383" s="703" t="str">
        <f t="shared" si="505"/>
        <v>N</v>
      </c>
      <c r="O383" s="703"/>
      <c r="P383" s="703" t="str">
        <f t="shared" ref="P383:AC383" si="506">P369</f>
        <v>N</v>
      </c>
      <c r="Q383" s="703" t="str">
        <f t="shared" si="506"/>
        <v>N</v>
      </c>
      <c r="R383" s="703" t="str">
        <f t="shared" si="506"/>
        <v>N</v>
      </c>
      <c r="S383" s="703" t="str">
        <f t="shared" si="506"/>
        <v>N</v>
      </c>
      <c r="T383" s="703" t="str">
        <f t="shared" si="506"/>
        <v>N</v>
      </c>
      <c r="U383" s="703" t="str">
        <f t="shared" si="506"/>
        <v>N</v>
      </c>
      <c r="V383" s="703" t="str">
        <f t="shared" si="506"/>
        <v>N</v>
      </c>
      <c r="W383" s="703" t="str">
        <f t="shared" si="506"/>
        <v>N</v>
      </c>
      <c r="X383" s="703" t="str">
        <f t="shared" si="506"/>
        <v>N</v>
      </c>
      <c r="Y383" s="703" t="str">
        <f t="shared" si="506"/>
        <v>N</v>
      </c>
      <c r="Z383" s="703" t="str">
        <f t="shared" si="506"/>
        <v>N</v>
      </c>
      <c r="AA383" s="703" t="str">
        <f t="shared" si="506"/>
        <v>N</v>
      </c>
      <c r="AB383" s="703" t="str">
        <f t="shared" si="506"/>
        <v>N</v>
      </c>
      <c r="AC383" s="703" t="str">
        <f t="shared" si="506"/>
        <v>N</v>
      </c>
      <c r="AD383" s="804"/>
      <c r="AE383" s="804"/>
      <c r="AF383" s="791"/>
      <c r="AG383" s="798"/>
      <c r="AH383" s="928"/>
      <c r="AI383" s="732"/>
      <c r="AJ383" s="733"/>
    </row>
    <row r="384" spans="1:52" hidden="1" outlineLevel="1" x14ac:dyDescent="0.25">
      <c r="A384" s="159"/>
      <c r="B384" s="1359"/>
      <c r="C384" s="667" t="str">
        <f>'Optimalizačné opatrenia'!$B$4</f>
        <v>Zjednotenie</v>
      </c>
      <c r="D384" s="718" t="str">
        <f t="shared" ref="D384:G384" si="507">D370</f>
        <v>N</v>
      </c>
      <c r="E384" s="703" t="str">
        <f t="shared" si="507"/>
        <v>N</v>
      </c>
      <c r="F384" s="703" t="str">
        <f t="shared" si="507"/>
        <v>A</v>
      </c>
      <c r="G384" s="703" t="str">
        <f t="shared" si="507"/>
        <v>A</v>
      </c>
      <c r="H384" s="703"/>
      <c r="I384" s="703"/>
      <c r="J384" s="703"/>
      <c r="K384" s="703"/>
      <c r="L384" s="703" t="str">
        <f t="shared" ref="L384:N384" si="508">L370</f>
        <v>A</v>
      </c>
      <c r="M384" s="703" t="str">
        <f t="shared" si="508"/>
        <v>N</v>
      </c>
      <c r="N384" s="703" t="str">
        <f t="shared" si="508"/>
        <v>N</v>
      </c>
      <c r="O384" s="703"/>
      <c r="P384" s="703" t="str">
        <f t="shared" ref="P384:AC384" si="509">P370</f>
        <v>A</v>
      </c>
      <c r="Q384" s="703" t="str">
        <f t="shared" si="509"/>
        <v>A</v>
      </c>
      <c r="R384" s="703" t="str">
        <f t="shared" si="509"/>
        <v>A</v>
      </c>
      <c r="S384" s="703" t="str">
        <f t="shared" si="509"/>
        <v>A</v>
      </c>
      <c r="T384" s="703" t="str">
        <f t="shared" si="509"/>
        <v>A</v>
      </c>
      <c r="U384" s="703" t="str">
        <f t="shared" si="509"/>
        <v>A</v>
      </c>
      <c r="V384" s="703" t="str">
        <f t="shared" si="509"/>
        <v>A</v>
      </c>
      <c r="W384" s="703" t="str">
        <f t="shared" si="509"/>
        <v>A</v>
      </c>
      <c r="X384" s="703" t="str">
        <f t="shared" si="509"/>
        <v>A</v>
      </c>
      <c r="Y384" s="703" t="str">
        <f t="shared" si="509"/>
        <v>A</v>
      </c>
      <c r="Z384" s="703" t="str">
        <f t="shared" si="509"/>
        <v>A</v>
      </c>
      <c r="AA384" s="703" t="str">
        <f t="shared" si="509"/>
        <v>A</v>
      </c>
      <c r="AB384" s="703" t="str">
        <f t="shared" si="509"/>
        <v>A</v>
      </c>
      <c r="AC384" s="703" t="str">
        <f t="shared" si="509"/>
        <v>A</v>
      </c>
      <c r="AD384" s="804"/>
      <c r="AE384" s="804"/>
      <c r="AF384" s="791"/>
      <c r="AG384" s="798"/>
      <c r="AH384" s="928"/>
      <c r="AI384" s="732"/>
      <c r="AJ384" s="733"/>
    </row>
    <row r="385" spans="1:52" hidden="1" outlineLevel="1" x14ac:dyDescent="0.25">
      <c r="A385" s="159"/>
      <c r="B385" s="1359"/>
      <c r="C385" s="667" t="str">
        <f>'Optimalizačné opatrenia'!$B$5</f>
        <v>Centralizácia</v>
      </c>
      <c r="D385" s="718" t="str">
        <f t="shared" ref="D385:G385" si="510">D371</f>
        <v>N</v>
      </c>
      <c r="E385" s="703" t="str">
        <f t="shared" si="510"/>
        <v>N</v>
      </c>
      <c r="F385" s="703" t="str">
        <f t="shared" si="510"/>
        <v>A</v>
      </c>
      <c r="G385" s="703" t="str">
        <f t="shared" si="510"/>
        <v>A</v>
      </c>
      <c r="H385" s="703"/>
      <c r="I385" s="703"/>
      <c r="J385" s="703"/>
      <c r="K385" s="703"/>
      <c r="L385" s="703" t="str">
        <f t="shared" ref="L385:N385" si="511">L371</f>
        <v>A</v>
      </c>
      <c r="M385" s="703" t="str">
        <f t="shared" si="511"/>
        <v>N</v>
      </c>
      <c r="N385" s="703" t="str">
        <f t="shared" si="511"/>
        <v>N</v>
      </c>
      <c r="O385" s="703"/>
      <c r="P385" s="703" t="str">
        <f t="shared" ref="P385:AC385" si="512">P371</f>
        <v>A</v>
      </c>
      <c r="Q385" s="703" t="str">
        <f t="shared" si="512"/>
        <v>A</v>
      </c>
      <c r="R385" s="703" t="str">
        <f t="shared" si="512"/>
        <v>A</v>
      </c>
      <c r="S385" s="703" t="str">
        <f t="shared" si="512"/>
        <v>A</v>
      </c>
      <c r="T385" s="703" t="str">
        <f t="shared" si="512"/>
        <v>A</v>
      </c>
      <c r="U385" s="703" t="str">
        <f t="shared" si="512"/>
        <v>A</v>
      </c>
      <c r="V385" s="703" t="str">
        <f t="shared" si="512"/>
        <v>A</v>
      </c>
      <c r="W385" s="703" t="str">
        <f t="shared" si="512"/>
        <v>A</v>
      </c>
      <c r="X385" s="703" t="str">
        <f t="shared" si="512"/>
        <v>A</v>
      </c>
      <c r="Y385" s="703" t="str">
        <f t="shared" si="512"/>
        <v>A</v>
      </c>
      <c r="Z385" s="703" t="str">
        <f t="shared" si="512"/>
        <v>A</v>
      </c>
      <c r="AA385" s="703" t="str">
        <f t="shared" si="512"/>
        <v>A</v>
      </c>
      <c r="AB385" s="703" t="str">
        <f t="shared" si="512"/>
        <v>A</v>
      </c>
      <c r="AC385" s="703" t="str">
        <f t="shared" si="512"/>
        <v>A</v>
      </c>
      <c r="AD385" s="804"/>
      <c r="AE385" s="804"/>
      <c r="AF385" s="791"/>
      <c r="AG385" s="798"/>
      <c r="AH385" s="928"/>
      <c r="AI385" s="732"/>
      <c r="AJ385" s="733"/>
    </row>
    <row r="386" spans="1:52" hidden="1" outlineLevel="1" x14ac:dyDescent="0.25">
      <c r="A386" s="159"/>
      <c r="B386" s="1359"/>
      <c r="C386" s="667" t="str">
        <f>'Optimalizačné opatrenia'!$B$6</f>
        <v>Elektronizácia</v>
      </c>
      <c r="D386" s="718" t="str">
        <f t="shared" ref="D386:G386" si="513">D372</f>
        <v>N</v>
      </c>
      <c r="E386" s="703" t="str">
        <f t="shared" si="513"/>
        <v>A</v>
      </c>
      <c r="F386" s="703" t="str">
        <f t="shared" si="513"/>
        <v>A</v>
      </c>
      <c r="G386" s="703" t="str">
        <f t="shared" si="513"/>
        <v>A</v>
      </c>
      <c r="H386" s="703"/>
      <c r="I386" s="703"/>
      <c r="J386" s="703"/>
      <c r="K386" s="703"/>
      <c r="L386" s="703" t="str">
        <f t="shared" ref="L386:N386" si="514">L372</f>
        <v>A</v>
      </c>
      <c r="M386" s="703" t="str">
        <f t="shared" si="514"/>
        <v>N</v>
      </c>
      <c r="N386" s="703" t="str">
        <f t="shared" si="514"/>
        <v>N</v>
      </c>
      <c r="O386" s="703"/>
      <c r="P386" s="703" t="str">
        <f t="shared" ref="P386:AC386" si="515">P372</f>
        <v>A</v>
      </c>
      <c r="Q386" s="703" t="str">
        <f t="shared" si="515"/>
        <v>A</v>
      </c>
      <c r="R386" s="703" t="str">
        <f t="shared" si="515"/>
        <v>A</v>
      </c>
      <c r="S386" s="703" t="str">
        <f t="shared" si="515"/>
        <v>A</v>
      </c>
      <c r="T386" s="703" t="str">
        <f t="shared" si="515"/>
        <v>A</v>
      </c>
      <c r="U386" s="703" t="str">
        <f t="shared" si="515"/>
        <v>A</v>
      </c>
      <c r="V386" s="703" t="str">
        <f t="shared" si="515"/>
        <v>A</v>
      </c>
      <c r="W386" s="703" t="str">
        <f t="shared" si="515"/>
        <v>A</v>
      </c>
      <c r="X386" s="703" t="str">
        <f t="shared" si="515"/>
        <v>A</v>
      </c>
      <c r="Y386" s="703" t="str">
        <f t="shared" si="515"/>
        <v>A</v>
      </c>
      <c r="Z386" s="703" t="str">
        <f t="shared" si="515"/>
        <v>A</v>
      </c>
      <c r="AA386" s="703" t="str">
        <f t="shared" si="515"/>
        <v>A</v>
      </c>
      <c r="AB386" s="703" t="str">
        <f t="shared" si="515"/>
        <v>A</v>
      </c>
      <c r="AC386" s="703" t="str">
        <f t="shared" si="515"/>
        <v>A</v>
      </c>
      <c r="AD386" s="804"/>
      <c r="AE386" s="804"/>
      <c r="AF386" s="791"/>
      <c r="AG386" s="798"/>
      <c r="AH386" s="928"/>
      <c r="AI386" s="732"/>
      <c r="AJ386" s="733"/>
    </row>
    <row r="387" spans="1:52" hidden="1" outlineLevel="1" x14ac:dyDescent="0.25">
      <c r="A387" s="159"/>
      <c r="B387" s="1359"/>
      <c r="C387" s="667" t="str">
        <f>'Optimalizačné opatrenia'!$B$7</f>
        <v>Automatizácia</v>
      </c>
      <c r="D387" s="718" t="str">
        <f t="shared" ref="D387:G387" si="516">D373</f>
        <v>N</v>
      </c>
      <c r="E387" s="703" t="str">
        <f t="shared" si="516"/>
        <v>A</v>
      </c>
      <c r="F387" s="703" t="str">
        <f t="shared" si="516"/>
        <v>A</v>
      </c>
      <c r="G387" s="703" t="str">
        <f t="shared" si="516"/>
        <v>A</v>
      </c>
      <c r="H387" s="703"/>
      <c r="I387" s="703"/>
      <c r="J387" s="703"/>
      <c r="K387" s="703"/>
      <c r="L387" s="703" t="str">
        <f t="shared" ref="L387:N387" si="517">L373</f>
        <v>A</v>
      </c>
      <c r="M387" s="703" t="str">
        <f t="shared" si="517"/>
        <v>N</v>
      </c>
      <c r="N387" s="703" t="str">
        <f t="shared" si="517"/>
        <v>N</v>
      </c>
      <c r="O387" s="703"/>
      <c r="P387" s="703" t="str">
        <f t="shared" ref="P387:AC387" si="518">P373</f>
        <v>A</v>
      </c>
      <c r="Q387" s="703" t="str">
        <f t="shared" si="518"/>
        <v>A</v>
      </c>
      <c r="R387" s="703" t="str">
        <f t="shared" si="518"/>
        <v>A</v>
      </c>
      <c r="S387" s="703" t="str">
        <f t="shared" si="518"/>
        <v>A</v>
      </c>
      <c r="T387" s="703" t="str">
        <f t="shared" si="518"/>
        <v>A</v>
      </c>
      <c r="U387" s="703" t="str">
        <f t="shared" si="518"/>
        <v>A</v>
      </c>
      <c r="V387" s="703" t="str">
        <f t="shared" si="518"/>
        <v>A</v>
      </c>
      <c r="W387" s="703" t="str">
        <f t="shared" si="518"/>
        <v>A</v>
      </c>
      <c r="X387" s="703" t="str">
        <f t="shared" si="518"/>
        <v>A</v>
      </c>
      <c r="Y387" s="703" t="str">
        <f t="shared" si="518"/>
        <v>A</v>
      </c>
      <c r="Z387" s="703" t="str">
        <f t="shared" si="518"/>
        <v>A</v>
      </c>
      <c r="AA387" s="703" t="str">
        <f t="shared" si="518"/>
        <v>A</v>
      </c>
      <c r="AB387" s="703" t="str">
        <f t="shared" si="518"/>
        <v>A</v>
      </c>
      <c r="AC387" s="703" t="str">
        <f t="shared" si="518"/>
        <v>A</v>
      </c>
      <c r="AD387" s="804"/>
      <c r="AE387" s="804"/>
      <c r="AF387" s="791"/>
      <c r="AG387" s="798"/>
      <c r="AH387" s="928"/>
      <c r="AI387" s="732"/>
      <c r="AJ387" s="733"/>
    </row>
    <row r="388" spans="1:52" hidden="1" outlineLevel="1" x14ac:dyDescent="0.25">
      <c r="A388" s="159"/>
      <c r="B388" s="1359"/>
      <c r="C388" s="667" t="str">
        <f>'Optimalizačné opatrenia'!$B$8</f>
        <v>Bezpečnosť</v>
      </c>
      <c r="D388" s="718" t="str">
        <f t="shared" ref="D388:G388" si="519">D374</f>
        <v>N</v>
      </c>
      <c r="E388" s="703" t="str">
        <f t="shared" si="519"/>
        <v>N</v>
      </c>
      <c r="F388" s="703" t="str">
        <f t="shared" si="519"/>
        <v>A</v>
      </c>
      <c r="G388" s="703" t="str">
        <f t="shared" si="519"/>
        <v>A</v>
      </c>
      <c r="H388" s="703"/>
      <c r="I388" s="703"/>
      <c r="J388" s="703"/>
      <c r="K388" s="703"/>
      <c r="L388" s="703" t="str">
        <f t="shared" ref="L388:N388" si="520">L374</f>
        <v>A</v>
      </c>
      <c r="M388" s="703" t="str">
        <f t="shared" si="520"/>
        <v>N</v>
      </c>
      <c r="N388" s="703" t="str">
        <f t="shared" si="520"/>
        <v>N</v>
      </c>
      <c r="O388" s="703"/>
      <c r="P388" s="703" t="str">
        <f t="shared" ref="P388:AC388" si="521">P374</f>
        <v>A</v>
      </c>
      <c r="Q388" s="703" t="str">
        <f t="shared" si="521"/>
        <v>A</v>
      </c>
      <c r="R388" s="703" t="str">
        <f t="shared" si="521"/>
        <v>A</v>
      </c>
      <c r="S388" s="703" t="str">
        <f t="shared" si="521"/>
        <v>A</v>
      </c>
      <c r="T388" s="703" t="str">
        <f t="shared" si="521"/>
        <v>A</v>
      </c>
      <c r="U388" s="703" t="str">
        <f t="shared" si="521"/>
        <v>A</v>
      </c>
      <c r="V388" s="703" t="str">
        <f t="shared" si="521"/>
        <v>A</v>
      </c>
      <c r="W388" s="703" t="str">
        <f t="shared" si="521"/>
        <v>A</v>
      </c>
      <c r="X388" s="703" t="str">
        <f t="shared" si="521"/>
        <v>A</v>
      </c>
      <c r="Y388" s="703" t="str">
        <f t="shared" si="521"/>
        <v>A</v>
      </c>
      <c r="Z388" s="703" t="str">
        <f t="shared" si="521"/>
        <v>A</v>
      </c>
      <c r="AA388" s="703" t="str">
        <f t="shared" si="521"/>
        <v>A</v>
      </c>
      <c r="AB388" s="703" t="str">
        <f t="shared" si="521"/>
        <v>A</v>
      </c>
      <c r="AC388" s="703" t="str">
        <f t="shared" si="521"/>
        <v>A</v>
      </c>
      <c r="AD388" s="804"/>
      <c r="AE388" s="804"/>
      <c r="AF388" s="791"/>
      <c r="AG388" s="798"/>
      <c r="AH388" s="928"/>
      <c r="AI388" s="732"/>
      <c r="AJ388" s="733"/>
    </row>
    <row r="389" spans="1:52" hidden="1" outlineLevel="1" x14ac:dyDescent="0.25">
      <c r="A389" s="159"/>
      <c r="B389" s="1359"/>
      <c r="C389" s="667" t="str">
        <f>'Optimalizačné opatrenia'!$B$9</f>
        <v>Auditovateľnosť</v>
      </c>
      <c r="D389" s="718" t="str">
        <f t="shared" ref="D389:G389" si="522">D375</f>
        <v>N</v>
      </c>
      <c r="E389" s="703" t="str">
        <f t="shared" si="522"/>
        <v>A</v>
      </c>
      <c r="F389" s="703" t="str">
        <f t="shared" si="522"/>
        <v>A</v>
      </c>
      <c r="G389" s="703" t="str">
        <f t="shared" si="522"/>
        <v>A</v>
      </c>
      <c r="H389" s="703"/>
      <c r="I389" s="703"/>
      <c r="J389" s="703"/>
      <c r="K389" s="703"/>
      <c r="L389" s="703" t="str">
        <f t="shared" ref="L389:N389" si="523">L375</f>
        <v>A</v>
      </c>
      <c r="M389" s="703" t="str">
        <f t="shared" si="523"/>
        <v>N</v>
      </c>
      <c r="N389" s="703" t="str">
        <f t="shared" si="523"/>
        <v>N</v>
      </c>
      <c r="O389" s="703"/>
      <c r="P389" s="703" t="str">
        <f t="shared" ref="P389:AC389" si="524">P375</f>
        <v>A</v>
      </c>
      <c r="Q389" s="703" t="str">
        <f t="shared" si="524"/>
        <v>A</v>
      </c>
      <c r="R389" s="703" t="str">
        <f t="shared" si="524"/>
        <v>A</v>
      </c>
      <c r="S389" s="703" t="str">
        <f t="shared" si="524"/>
        <v>A</v>
      </c>
      <c r="T389" s="703" t="str">
        <f t="shared" si="524"/>
        <v>A</v>
      </c>
      <c r="U389" s="703" t="str">
        <f t="shared" si="524"/>
        <v>A</v>
      </c>
      <c r="V389" s="703" t="str">
        <f t="shared" si="524"/>
        <v>A</v>
      </c>
      <c r="W389" s="703" t="str">
        <f t="shared" si="524"/>
        <v>A</v>
      </c>
      <c r="X389" s="703" t="str">
        <f t="shared" si="524"/>
        <v>A</v>
      </c>
      <c r="Y389" s="703" t="str">
        <f t="shared" si="524"/>
        <v>A</v>
      </c>
      <c r="Z389" s="703" t="str">
        <f t="shared" si="524"/>
        <v>A</v>
      </c>
      <c r="AA389" s="703" t="str">
        <f t="shared" si="524"/>
        <v>A</v>
      </c>
      <c r="AB389" s="703" t="str">
        <f t="shared" si="524"/>
        <v>A</v>
      </c>
      <c r="AC389" s="703" t="str">
        <f t="shared" si="524"/>
        <v>A</v>
      </c>
      <c r="AD389" s="804"/>
      <c r="AE389" s="804"/>
      <c r="AF389" s="791"/>
      <c r="AG389" s="798"/>
      <c r="AH389" s="928"/>
      <c r="AI389" s="732"/>
      <c r="AJ389" s="733"/>
    </row>
    <row r="390" spans="1:52" hidden="1" outlineLevel="1" x14ac:dyDescent="0.25">
      <c r="A390" s="159"/>
      <c r="B390" s="1359"/>
      <c r="C390" s="667" t="str">
        <f>'Optimalizačné opatrenia'!$B$10</f>
        <v>Transparentnosť</v>
      </c>
      <c r="D390" s="718" t="str">
        <f t="shared" ref="D390:G390" si="525">D376</f>
        <v>N</v>
      </c>
      <c r="E390" s="703" t="str">
        <f t="shared" si="525"/>
        <v>N</v>
      </c>
      <c r="F390" s="703" t="str">
        <f t="shared" si="525"/>
        <v>N</v>
      </c>
      <c r="G390" s="703" t="str">
        <f t="shared" si="525"/>
        <v>N</v>
      </c>
      <c r="H390" s="703"/>
      <c r="I390" s="703"/>
      <c r="J390" s="703"/>
      <c r="K390" s="703"/>
      <c r="L390" s="703" t="str">
        <f t="shared" ref="L390:N390" si="526">L376</f>
        <v>N</v>
      </c>
      <c r="M390" s="703" t="str">
        <f t="shared" si="526"/>
        <v>N</v>
      </c>
      <c r="N390" s="703" t="str">
        <f t="shared" si="526"/>
        <v>N</v>
      </c>
      <c r="O390" s="703"/>
      <c r="P390" s="703" t="str">
        <f t="shared" ref="P390:AC390" si="527">P376</f>
        <v>A</v>
      </c>
      <c r="Q390" s="703" t="str">
        <f t="shared" si="527"/>
        <v>N</v>
      </c>
      <c r="R390" s="703" t="str">
        <f t="shared" si="527"/>
        <v>N</v>
      </c>
      <c r="S390" s="703" t="str">
        <f t="shared" si="527"/>
        <v>N</v>
      </c>
      <c r="T390" s="703" t="str">
        <f t="shared" si="527"/>
        <v>N</v>
      </c>
      <c r="U390" s="703" t="str">
        <f t="shared" si="527"/>
        <v>N</v>
      </c>
      <c r="V390" s="703" t="str">
        <f t="shared" si="527"/>
        <v>A</v>
      </c>
      <c r="W390" s="703" t="str">
        <f t="shared" si="527"/>
        <v>N</v>
      </c>
      <c r="X390" s="703" t="str">
        <f t="shared" si="527"/>
        <v>N</v>
      </c>
      <c r="Y390" s="703" t="str">
        <f t="shared" si="527"/>
        <v>N</v>
      </c>
      <c r="Z390" s="703" t="str">
        <f t="shared" si="527"/>
        <v>N</v>
      </c>
      <c r="AA390" s="703" t="str">
        <f t="shared" si="527"/>
        <v>A</v>
      </c>
      <c r="AB390" s="703" t="str">
        <f t="shared" si="527"/>
        <v>N</v>
      </c>
      <c r="AC390" s="703" t="str">
        <f t="shared" si="527"/>
        <v>N</v>
      </c>
      <c r="AD390" s="804"/>
      <c r="AE390" s="804"/>
      <c r="AF390" s="791"/>
      <c r="AG390" s="798"/>
      <c r="AH390" s="928"/>
      <c r="AI390" s="732"/>
      <c r="AJ390" s="733"/>
    </row>
    <row r="391" spans="1:52" hidden="1" outlineLevel="1" x14ac:dyDescent="0.25">
      <c r="A391" s="159"/>
      <c r="B391" s="1359"/>
      <c r="C391" s="667" t="str">
        <f>'Optimalizačné opatrenia'!$B$11</f>
        <v>Analyzovatelnosť</v>
      </c>
      <c r="D391" s="718" t="str">
        <f t="shared" ref="D391:G391" si="528">D377</f>
        <v>N</v>
      </c>
      <c r="E391" s="703" t="str">
        <f t="shared" si="528"/>
        <v>N</v>
      </c>
      <c r="F391" s="703" t="str">
        <f t="shared" si="528"/>
        <v>A</v>
      </c>
      <c r="G391" s="703" t="str">
        <f t="shared" si="528"/>
        <v>A</v>
      </c>
      <c r="H391" s="703"/>
      <c r="I391" s="703"/>
      <c r="J391" s="703"/>
      <c r="K391" s="703"/>
      <c r="L391" s="703" t="str">
        <f t="shared" ref="L391:N391" si="529">L377</f>
        <v>A</v>
      </c>
      <c r="M391" s="703" t="str">
        <f t="shared" si="529"/>
        <v>N</v>
      </c>
      <c r="N391" s="703" t="str">
        <f t="shared" si="529"/>
        <v>N</v>
      </c>
      <c r="O391" s="703"/>
      <c r="P391" s="703" t="str">
        <f t="shared" ref="P391:AC391" si="530">P377</f>
        <v>A</v>
      </c>
      <c r="Q391" s="703" t="str">
        <f t="shared" si="530"/>
        <v>A</v>
      </c>
      <c r="R391" s="703" t="str">
        <f t="shared" si="530"/>
        <v>A</v>
      </c>
      <c r="S391" s="703" t="str">
        <f t="shared" si="530"/>
        <v>A</v>
      </c>
      <c r="T391" s="703" t="str">
        <f t="shared" si="530"/>
        <v>A</v>
      </c>
      <c r="U391" s="703" t="str">
        <f t="shared" si="530"/>
        <v>A</v>
      </c>
      <c r="V391" s="703" t="str">
        <f t="shared" si="530"/>
        <v>A</v>
      </c>
      <c r="W391" s="703" t="str">
        <f t="shared" si="530"/>
        <v>A</v>
      </c>
      <c r="X391" s="703" t="str">
        <f t="shared" si="530"/>
        <v>A</v>
      </c>
      <c r="Y391" s="703" t="str">
        <f t="shared" si="530"/>
        <v>A</v>
      </c>
      <c r="Z391" s="703" t="str">
        <f t="shared" si="530"/>
        <v>A</v>
      </c>
      <c r="AA391" s="703" t="str">
        <f t="shared" si="530"/>
        <v>A</v>
      </c>
      <c r="AB391" s="703" t="str">
        <f t="shared" si="530"/>
        <v>A</v>
      </c>
      <c r="AC391" s="703" t="str">
        <f t="shared" si="530"/>
        <v>A</v>
      </c>
      <c r="AD391" s="804"/>
      <c r="AE391" s="804"/>
      <c r="AF391" s="791"/>
      <c r="AG391" s="798"/>
      <c r="AH391" s="928"/>
      <c r="AI391" s="732"/>
      <c r="AJ391" s="733"/>
    </row>
    <row r="392" spans="1:52" hidden="1" outlineLevel="1" x14ac:dyDescent="0.25">
      <c r="A392" s="159"/>
      <c r="B392" s="1359"/>
      <c r="C392" s="667" t="str">
        <f>'Optimalizačné opatrenia'!$B$12</f>
        <v>Integrácia</v>
      </c>
      <c r="D392" s="718" t="str">
        <f t="shared" ref="D392:G392" si="531">D378</f>
        <v>N</v>
      </c>
      <c r="E392" s="703" t="str">
        <f t="shared" si="531"/>
        <v>A</v>
      </c>
      <c r="F392" s="703" t="str">
        <f t="shared" si="531"/>
        <v>A</v>
      </c>
      <c r="G392" s="703" t="str">
        <f t="shared" si="531"/>
        <v>A</v>
      </c>
      <c r="H392" s="703"/>
      <c r="I392" s="703"/>
      <c r="J392" s="703"/>
      <c r="K392" s="703"/>
      <c r="L392" s="703" t="str">
        <f t="shared" ref="L392:N392" si="532">L378</f>
        <v>A</v>
      </c>
      <c r="M392" s="703" t="str">
        <f t="shared" si="532"/>
        <v>N</v>
      </c>
      <c r="N392" s="703" t="str">
        <f t="shared" si="532"/>
        <v>N</v>
      </c>
      <c r="O392" s="703"/>
      <c r="P392" s="703" t="str">
        <f t="shared" ref="P392:AC392" si="533">P378</f>
        <v>A</v>
      </c>
      <c r="Q392" s="703" t="str">
        <f t="shared" si="533"/>
        <v>A</v>
      </c>
      <c r="R392" s="703" t="str">
        <f t="shared" si="533"/>
        <v>A</v>
      </c>
      <c r="S392" s="703" t="str">
        <f t="shared" si="533"/>
        <v>A</v>
      </c>
      <c r="T392" s="703" t="str">
        <f t="shared" si="533"/>
        <v>A</v>
      </c>
      <c r="U392" s="703" t="str">
        <f t="shared" si="533"/>
        <v>A</v>
      </c>
      <c r="V392" s="703" t="str">
        <f t="shared" si="533"/>
        <v>A</v>
      </c>
      <c r="W392" s="703" t="str">
        <f t="shared" si="533"/>
        <v>A</v>
      </c>
      <c r="X392" s="703" t="str">
        <f t="shared" si="533"/>
        <v>A</v>
      </c>
      <c r="Y392" s="703" t="str">
        <f t="shared" si="533"/>
        <v>A</v>
      </c>
      <c r="Z392" s="703" t="str">
        <f t="shared" si="533"/>
        <v>A</v>
      </c>
      <c r="AA392" s="703" t="str">
        <f t="shared" si="533"/>
        <v>A</v>
      </c>
      <c r="AB392" s="703" t="str">
        <f t="shared" si="533"/>
        <v>A</v>
      </c>
      <c r="AC392" s="703" t="str">
        <f t="shared" si="533"/>
        <v>A</v>
      </c>
      <c r="AD392" s="804"/>
      <c r="AE392" s="804"/>
      <c r="AF392" s="791"/>
      <c r="AG392" s="798"/>
      <c r="AH392" s="928"/>
      <c r="AI392" s="732"/>
      <c r="AJ392" s="733"/>
    </row>
    <row r="393" spans="1:52" hidden="1" outlineLevel="1" x14ac:dyDescent="0.25">
      <c r="A393" s="159"/>
      <c r="B393" s="1359"/>
      <c r="C393" s="672" t="str">
        <f>'Optimalizačné opatrenia'!$B$13</f>
        <v>Proaktivita</v>
      </c>
      <c r="D393" s="718" t="str">
        <f t="shared" ref="D393:G393" si="534">D379</f>
        <v>N</v>
      </c>
      <c r="E393" s="703" t="str">
        <f t="shared" si="534"/>
        <v>N</v>
      </c>
      <c r="F393" s="703" t="str">
        <f t="shared" si="534"/>
        <v>A</v>
      </c>
      <c r="G393" s="703" t="str">
        <f t="shared" si="534"/>
        <v>N</v>
      </c>
      <c r="H393" s="703"/>
      <c r="I393" s="703"/>
      <c r="J393" s="703"/>
      <c r="K393" s="703"/>
      <c r="L393" s="703" t="str">
        <f t="shared" ref="L393:N393" si="535">L379</f>
        <v>A</v>
      </c>
      <c r="M393" s="703" t="str">
        <f t="shared" si="535"/>
        <v>N</v>
      </c>
      <c r="N393" s="703" t="str">
        <f t="shared" si="535"/>
        <v>N</v>
      </c>
      <c r="O393" s="703"/>
      <c r="P393" s="703" t="str">
        <f t="shared" ref="P393:AC393" si="536">P379</f>
        <v>N</v>
      </c>
      <c r="Q393" s="703" t="str">
        <f t="shared" si="536"/>
        <v>N</v>
      </c>
      <c r="R393" s="703" t="str">
        <f t="shared" si="536"/>
        <v>A</v>
      </c>
      <c r="S393" s="703" t="str">
        <f t="shared" si="536"/>
        <v>A</v>
      </c>
      <c r="T393" s="703" t="str">
        <f t="shared" si="536"/>
        <v>A</v>
      </c>
      <c r="U393" s="703" t="str">
        <f t="shared" si="536"/>
        <v>N</v>
      </c>
      <c r="V393" s="703" t="str">
        <f t="shared" si="536"/>
        <v>A</v>
      </c>
      <c r="W393" s="703" t="str">
        <f t="shared" si="536"/>
        <v>N</v>
      </c>
      <c r="X393" s="703" t="str">
        <f t="shared" si="536"/>
        <v>N</v>
      </c>
      <c r="Y393" s="703" t="str">
        <f t="shared" si="536"/>
        <v>A</v>
      </c>
      <c r="Z393" s="703" t="str">
        <f t="shared" si="536"/>
        <v>A</v>
      </c>
      <c r="AA393" s="703" t="str">
        <f t="shared" si="536"/>
        <v>A</v>
      </c>
      <c r="AB393" s="703" t="str">
        <f t="shared" si="536"/>
        <v>N</v>
      </c>
      <c r="AC393" s="703" t="str">
        <f t="shared" si="536"/>
        <v>A</v>
      </c>
      <c r="AD393" s="804"/>
      <c r="AE393" s="804"/>
      <c r="AF393" s="791"/>
      <c r="AG393" s="798"/>
      <c r="AH393" s="928"/>
      <c r="AI393" s="732"/>
      <c r="AJ393" s="733"/>
    </row>
    <row r="394" spans="1:52" hidden="1" outlineLevel="1" x14ac:dyDescent="0.25">
      <c r="A394" s="159"/>
      <c r="B394" s="720"/>
      <c r="C394" s="722" t="s">
        <v>538</v>
      </c>
      <c r="D394" s="723">
        <f t="shared" ref="D394:G394" si="537">D380</f>
        <v>0</v>
      </c>
      <c r="E394" s="721">
        <f t="shared" si="537"/>
        <v>0.2</v>
      </c>
      <c r="F394" s="724">
        <f t="shared" si="537"/>
        <v>0.4</v>
      </c>
      <c r="G394" s="724">
        <f t="shared" si="537"/>
        <v>0.3</v>
      </c>
      <c r="H394" s="724"/>
      <c r="I394" s="724"/>
      <c r="J394" s="724"/>
      <c r="K394" s="724"/>
      <c r="L394" s="724">
        <f t="shared" ref="L394:N394" si="538">L380</f>
        <v>0.4</v>
      </c>
      <c r="M394" s="724">
        <f t="shared" si="538"/>
        <v>0</v>
      </c>
      <c r="N394" s="724">
        <f t="shared" si="538"/>
        <v>0</v>
      </c>
      <c r="O394" s="724"/>
      <c r="P394" s="724">
        <f t="shared" ref="P394:AC394" si="539">P380</f>
        <v>0.45</v>
      </c>
      <c r="Q394" s="724">
        <f t="shared" si="539"/>
        <v>0.3</v>
      </c>
      <c r="R394" s="724">
        <f t="shared" si="539"/>
        <v>0.4</v>
      </c>
      <c r="S394" s="724">
        <f t="shared" si="539"/>
        <v>0.4</v>
      </c>
      <c r="T394" s="724">
        <f t="shared" si="539"/>
        <v>0.4</v>
      </c>
      <c r="U394" s="724">
        <f t="shared" si="539"/>
        <v>0.3</v>
      </c>
      <c r="V394" s="724">
        <f t="shared" si="539"/>
        <v>0.5</v>
      </c>
      <c r="W394" s="724">
        <f t="shared" si="539"/>
        <v>0.3</v>
      </c>
      <c r="X394" s="724">
        <f t="shared" si="539"/>
        <v>0.3</v>
      </c>
      <c r="Y394" s="724">
        <f t="shared" si="539"/>
        <v>0.4</v>
      </c>
      <c r="Z394" s="724">
        <f t="shared" si="539"/>
        <v>0.4</v>
      </c>
      <c r="AA394" s="724">
        <f t="shared" si="539"/>
        <v>0.5</v>
      </c>
      <c r="AB394" s="724">
        <f t="shared" si="539"/>
        <v>0.3</v>
      </c>
      <c r="AC394" s="724">
        <f t="shared" si="539"/>
        <v>0.4</v>
      </c>
      <c r="AD394" s="805"/>
      <c r="AE394" s="805"/>
      <c r="AF394" s="792"/>
      <c r="AG394" s="799"/>
      <c r="AH394" s="929"/>
      <c r="AI394" s="735"/>
      <c r="AJ394" s="736"/>
    </row>
    <row r="395" spans="1:52" ht="45" collapsed="1" x14ac:dyDescent="0.25">
      <c r="A395" s="159">
        <f ca="1">OFFSET(A395,-14,0)+1</f>
        <v>28</v>
      </c>
      <c r="B395" s="234" t="str">
        <f ca="1">'Procesy - AS IS'!B96</f>
        <v>Meranie č. 28</v>
      </c>
      <c r="C395" s="650" t="str">
        <f>'Procesy - AS IS'!C96</f>
        <v>Považská cementáreň, a.s. , Environmentálne označovanie výrobkov, 5706/2018</v>
      </c>
      <c r="D395" s="726">
        <f>-'Procesy - AS IS'!D98*D408</f>
        <v>0</v>
      </c>
      <c r="E395" s="653">
        <f>-'Procesy - AS IS'!E98*E408</f>
        <v>-1.6</v>
      </c>
      <c r="F395" s="653">
        <f>-'Procesy - AS IS'!F98*F408</f>
        <v>0</v>
      </c>
      <c r="G395" s="653">
        <f>-'Procesy - AS IS'!G98*G408</f>
        <v>-3.5999999999999996</v>
      </c>
      <c r="H395" s="653" t="s">
        <v>555</v>
      </c>
      <c r="I395" s="653" t="s">
        <v>555</v>
      </c>
      <c r="J395" s="653" t="s">
        <v>555</v>
      </c>
      <c r="K395" s="653" t="s">
        <v>555</v>
      </c>
      <c r="L395" s="653">
        <f>-'Procesy - AS IS'!L98*L408</f>
        <v>-1.6</v>
      </c>
      <c r="M395" s="653">
        <f>-'Procesy - AS IS'!M98*M408</f>
        <v>0</v>
      </c>
      <c r="N395" s="653" t="s">
        <v>557</v>
      </c>
      <c r="O395" s="653" t="s">
        <v>559</v>
      </c>
      <c r="P395" s="653">
        <f>-'Procesy - AS IS'!P98*P408</f>
        <v>-3.6</v>
      </c>
      <c r="Q395" s="653">
        <f>-'Procesy - AS IS'!Q98*Q408</f>
        <v>0</v>
      </c>
      <c r="R395" s="653">
        <f>-'Procesy - AS IS'!R98*R408</f>
        <v>0</v>
      </c>
      <c r="S395" s="653">
        <f>-'Procesy - AS IS'!S98*S408</f>
        <v>-1.6</v>
      </c>
      <c r="T395" s="653">
        <f>-'Procesy - AS IS'!T98*T408</f>
        <v>0</v>
      </c>
      <c r="U395" s="653">
        <f>-'Procesy - AS IS'!U98*U408</f>
        <v>-1.2</v>
      </c>
      <c r="V395" s="653">
        <f>-'Procesy - AS IS'!V98*V408</f>
        <v>-2</v>
      </c>
      <c r="W395" s="653">
        <f>-'Procesy - AS IS'!W98*W408</f>
        <v>0</v>
      </c>
      <c r="X395" s="653">
        <f>-'Procesy - AS IS'!X98*X408</f>
        <v>0</v>
      </c>
      <c r="Y395" s="653">
        <f>-'Procesy - AS IS'!Y98*Y408</f>
        <v>0</v>
      </c>
      <c r="Z395" s="653">
        <f>-'Procesy - AS IS'!Z98*Z408</f>
        <v>0</v>
      </c>
      <c r="AA395" s="653">
        <f>-'Procesy - AS IS'!AA98*AA408</f>
        <v>0</v>
      </c>
      <c r="AB395" s="653">
        <f>-'Procesy - AS IS'!AB98*AB408</f>
        <v>0</v>
      </c>
      <c r="AC395" s="653">
        <f>-'Procesy - AS IS'!AC98*AC408</f>
        <v>0</v>
      </c>
      <c r="AD395" s="754"/>
      <c r="AE395" s="754">
        <f>SUM(D395:AC395)</f>
        <v>-15.199999999999998</v>
      </c>
      <c r="AF395" s="728">
        <f>AE395/'Procesy - AS IS'!AD98</f>
        <v>-0.3454545454545454</v>
      </c>
      <c r="AG395" s="797">
        <f>('Procesy - AS IS'!AG98/(1+$AF395)-'Procesy - AS IS'!AG98)/2</f>
        <v>11.083333333333336</v>
      </c>
      <c r="AH395" s="927">
        <f>('Procesy - AS IS'!AH98/(1+$AF395)-'Procesy - AS IS'!AH98)/2</f>
        <v>0</v>
      </c>
      <c r="AI395" s="730">
        <f>('Procesy - AS IS'!AI98/(1+$AF395)-'Procesy - AS IS'!AI98)/2</f>
        <v>0</v>
      </c>
      <c r="AJ395" s="731">
        <f>('Procesy - AS IS'!AJ98/(1+$AF395)-'Procesy - AS IS'!AJ98)/2</f>
        <v>0</v>
      </c>
      <c r="AL395" s="232"/>
      <c r="AZ395" s="227"/>
    </row>
    <row r="396" spans="1:52" hidden="1" outlineLevel="1" x14ac:dyDescent="0.25">
      <c r="A396" s="159"/>
      <c r="B396" s="1358" t="s">
        <v>528</v>
      </c>
      <c r="C396" s="667" t="str">
        <f>'Optimalizačné opatrenia'!$B$2</f>
        <v>Modernizácia</v>
      </c>
      <c r="D396" s="673" t="s">
        <v>530</v>
      </c>
      <c r="E396" s="674" t="str">
        <f t="shared" ref="E396:G408" si="540">E354</f>
        <v>A</v>
      </c>
      <c r="F396" s="703" t="str">
        <f t="shared" si="540"/>
        <v>A</v>
      </c>
      <c r="G396" s="703" t="str">
        <f t="shared" si="540"/>
        <v>A</v>
      </c>
      <c r="H396" s="703"/>
      <c r="I396" s="703"/>
      <c r="J396" s="703"/>
      <c r="K396" s="703"/>
      <c r="L396" s="703" t="str">
        <f t="shared" ref="L396:N408" si="541">L354</f>
        <v>A</v>
      </c>
      <c r="M396" s="703" t="str">
        <f t="shared" si="541"/>
        <v>N</v>
      </c>
      <c r="N396" s="703" t="str">
        <f t="shared" si="541"/>
        <v>N</v>
      </c>
      <c r="O396" s="703"/>
      <c r="P396" s="703" t="str">
        <f t="shared" ref="P396:R408" si="542">P354</f>
        <v>A</v>
      </c>
      <c r="Q396" s="703" t="str">
        <f t="shared" si="542"/>
        <v>A</v>
      </c>
      <c r="R396" s="703" t="str">
        <f t="shared" si="542"/>
        <v>A</v>
      </c>
      <c r="S396" s="703" t="str">
        <f t="shared" ref="S396:S408" si="543">R396</f>
        <v>A</v>
      </c>
      <c r="T396" s="703" t="str">
        <f t="shared" ref="T396:T408" si="544">R396</f>
        <v>A</v>
      </c>
      <c r="U396" s="703" t="str">
        <f t="shared" ref="U396:U408" si="545">G396</f>
        <v>A</v>
      </c>
      <c r="V396" s="703" t="str">
        <f t="shared" ref="V396:V408" si="546">V354</f>
        <v>A</v>
      </c>
      <c r="W396" s="703" t="str">
        <f t="shared" ref="W396:W408" si="547">W10</f>
        <v>A</v>
      </c>
      <c r="X396" s="703" t="str">
        <f t="shared" ref="X396:X408" si="548">G396</f>
        <v>A</v>
      </c>
      <c r="Y396" s="703" t="str">
        <f t="shared" ref="Y396:Y408" si="549">R396</f>
        <v>A</v>
      </c>
      <c r="Z396" s="703" t="str">
        <f t="shared" ref="Z396:Z408" si="550">R396</f>
        <v>A</v>
      </c>
      <c r="AA396" s="703" t="str">
        <f t="shared" ref="AA396:AA408" si="551">$V396</f>
        <v>A</v>
      </c>
      <c r="AB396" s="703" t="str">
        <f t="shared" ref="AB396:AB408" si="552">G396</f>
        <v>A</v>
      </c>
      <c r="AC396" s="703" t="str">
        <f t="shared" ref="AC396:AC408" si="553">R396</f>
        <v>A</v>
      </c>
      <c r="AD396" s="804"/>
      <c r="AE396" s="804"/>
      <c r="AF396" s="791"/>
      <c r="AG396" s="798"/>
      <c r="AH396" s="928"/>
      <c r="AI396" s="732"/>
      <c r="AJ396" s="733"/>
    </row>
    <row r="397" spans="1:52" hidden="1" outlineLevel="1" x14ac:dyDescent="0.25">
      <c r="A397" s="159"/>
      <c r="B397" s="1359"/>
      <c r="C397" s="667" t="str">
        <f>'Optimalizačné opatrenia'!$B$3</f>
        <v>Sfunkčnenie</v>
      </c>
      <c r="D397" s="718" t="s">
        <v>530</v>
      </c>
      <c r="E397" s="703" t="str">
        <f t="shared" si="540"/>
        <v>N</v>
      </c>
      <c r="F397" s="703" t="str">
        <f t="shared" si="540"/>
        <v>N</v>
      </c>
      <c r="G397" s="703" t="str">
        <f t="shared" si="540"/>
        <v>N</v>
      </c>
      <c r="H397" s="703"/>
      <c r="I397" s="703"/>
      <c r="J397" s="703"/>
      <c r="K397" s="703"/>
      <c r="L397" s="703" t="str">
        <f t="shared" si="541"/>
        <v>N</v>
      </c>
      <c r="M397" s="703" t="str">
        <f t="shared" si="541"/>
        <v>N</v>
      </c>
      <c r="N397" s="703" t="str">
        <f t="shared" si="541"/>
        <v>N</v>
      </c>
      <c r="O397" s="703"/>
      <c r="P397" s="703" t="str">
        <f t="shared" si="542"/>
        <v>N</v>
      </c>
      <c r="Q397" s="703" t="str">
        <f t="shared" si="542"/>
        <v>N</v>
      </c>
      <c r="R397" s="703" t="str">
        <f t="shared" si="542"/>
        <v>N</v>
      </c>
      <c r="S397" s="703" t="str">
        <f t="shared" si="543"/>
        <v>N</v>
      </c>
      <c r="T397" s="703" t="str">
        <f t="shared" si="544"/>
        <v>N</v>
      </c>
      <c r="U397" s="703" t="str">
        <f t="shared" si="545"/>
        <v>N</v>
      </c>
      <c r="V397" s="703" t="str">
        <f t="shared" si="546"/>
        <v>N</v>
      </c>
      <c r="W397" s="703" t="str">
        <f t="shared" si="547"/>
        <v>N</v>
      </c>
      <c r="X397" s="703" t="str">
        <f t="shared" si="548"/>
        <v>N</v>
      </c>
      <c r="Y397" s="703" t="str">
        <f t="shared" si="549"/>
        <v>N</v>
      </c>
      <c r="Z397" s="703" t="str">
        <f t="shared" si="550"/>
        <v>N</v>
      </c>
      <c r="AA397" s="703" t="str">
        <f t="shared" si="551"/>
        <v>N</v>
      </c>
      <c r="AB397" s="703" t="str">
        <f t="shared" si="552"/>
        <v>N</v>
      </c>
      <c r="AC397" s="703" t="str">
        <f t="shared" si="553"/>
        <v>N</v>
      </c>
      <c r="AD397" s="804"/>
      <c r="AE397" s="804"/>
      <c r="AF397" s="791"/>
      <c r="AG397" s="798"/>
      <c r="AH397" s="928"/>
      <c r="AI397" s="732"/>
      <c r="AJ397" s="733"/>
    </row>
    <row r="398" spans="1:52" hidden="1" outlineLevel="1" x14ac:dyDescent="0.25">
      <c r="A398" s="159"/>
      <c r="B398" s="1359"/>
      <c r="C398" s="667" t="str">
        <f>'Optimalizačné opatrenia'!$B$4</f>
        <v>Zjednotenie</v>
      </c>
      <c r="D398" s="718" t="s">
        <v>530</v>
      </c>
      <c r="E398" s="703" t="str">
        <f t="shared" si="540"/>
        <v>N</v>
      </c>
      <c r="F398" s="703" t="str">
        <f t="shared" si="540"/>
        <v>A</v>
      </c>
      <c r="G398" s="703" t="str">
        <f t="shared" si="540"/>
        <v>A</v>
      </c>
      <c r="H398" s="703"/>
      <c r="I398" s="703"/>
      <c r="J398" s="703"/>
      <c r="K398" s="703"/>
      <c r="L398" s="703" t="str">
        <f t="shared" si="541"/>
        <v>A</v>
      </c>
      <c r="M398" s="703" t="str">
        <f t="shared" si="541"/>
        <v>N</v>
      </c>
      <c r="N398" s="703" t="str">
        <f t="shared" si="541"/>
        <v>N</v>
      </c>
      <c r="O398" s="703"/>
      <c r="P398" s="703" t="str">
        <f t="shared" si="542"/>
        <v>A</v>
      </c>
      <c r="Q398" s="703" t="str">
        <f t="shared" si="542"/>
        <v>A</v>
      </c>
      <c r="R398" s="703" t="str">
        <f t="shared" si="542"/>
        <v>A</v>
      </c>
      <c r="S398" s="703" t="str">
        <f t="shared" si="543"/>
        <v>A</v>
      </c>
      <c r="T398" s="703" t="str">
        <f t="shared" si="544"/>
        <v>A</v>
      </c>
      <c r="U398" s="703" t="str">
        <f t="shared" si="545"/>
        <v>A</v>
      </c>
      <c r="V398" s="703" t="str">
        <f t="shared" si="546"/>
        <v>A</v>
      </c>
      <c r="W398" s="703" t="str">
        <f t="shared" si="547"/>
        <v>A</v>
      </c>
      <c r="X398" s="703" t="str">
        <f t="shared" si="548"/>
        <v>A</v>
      </c>
      <c r="Y398" s="703" t="str">
        <f t="shared" si="549"/>
        <v>A</v>
      </c>
      <c r="Z398" s="703" t="str">
        <f t="shared" si="550"/>
        <v>A</v>
      </c>
      <c r="AA398" s="703" t="str">
        <f t="shared" si="551"/>
        <v>A</v>
      </c>
      <c r="AB398" s="703" t="str">
        <f t="shared" si="552"/>
        <v>A</v>
      </c>
      <c r="AC398" s="703" t="str">
        <f t="shared" si="553"/>
        <v>A</v>
      </c>
      <c r="AD398" s="804"/>
      <c r="AE398" s="804"/>
      <c r="AF398" s="791"/>
      <c r="AG398" s="798"/>
      <c r="AH398" s="928"/>
      <c r="AI398" s="732"/>
      <c r="AJ398" s="733"/>
    </row>
    <row r="399" spans="1:52" hidden="1" outlineLevel="1" x14ac:dyDescent="0.25">
      <c r="A399" s="159"/>
      <c r="B399" s="1359"/>
      <c r="C399" s="667" t="str">
        <f>'Optimalizačné opatrenia'!$B$5</f>
        <v>Centralizácia</v>
      </c>
      <c r="D399" s="718" t="s">
        <v>530</v>
      </c>
      <c r="E399" s="703" t="str">
        <f t="shared" si="540"/>
        <v>N</v>
      </c>
      <c r="F399" s="703" t="str">
        <f t="shared" si="540"/>
        <v>A</v>
      </c>
      <c r="G399" s="703" t="str">
        <f t="shared" si="540"/>
        <v>A</v>
      </c>
      <c r="H399" s="703"/>
      <c r="I399" s="703"/>
      <c r="J399" s="703"/>
      <c r="K399" s="703"/>
      <c r="L399" s="703" t="str">
        <f t="shared" si="541"/>
        <v>A</v>
      </c>
      <c r="M399" s="703" t="str">
        <f t="shared" si="541"/>
        <v>N</v>
      </c>
      <c r="N399" s="703" t="str">
        <f t="shared" si="541"/>
        <v>N</v>
      </c>
      <c r="O399" s="703"/>
      <c r="P399" s="703" t="str">
        <f t="shared" si="542"/>
        <v>A</v>
      </c>
      <c r="Q399" s="703" t="str">
        <f t="shared" si="542"/>
        <v>A</v>
      </c>
      <c r="R399" s="703" t="str">
        <f t="shared" si="542"/>
        <v>A</v>
      </c>
      <c r="S399" s="703" t="str">
        <f t="shared" si="543"/>
        <v>A</v>
      </c>
      <c r="T399" s="703" t="str">
        <f t="shared" si="544"/>
        <v>A</v>
      </c>
      <c r="U399" s="703" t="str">
        <f t="shared" si="545"/>
        <v>A</v>
      </c>
      <c r="V399" s="703" t="str">
        <f t="shared" si="546"/>
        <v>A</v>
      </c>
      <c r="W399" s="703" t="str">
        <f t="shared" si="547"/>
        <v>A</v>
      </c>
      <c r="X399" s="703" t="str">
        <f t="shared" si="548"/>
        <v>A</v>
      </c>
      <c r="Y399" s="703" t="str">
        <f t="shared" si="549"/>
        <v>A</v>
      </c>
      <c r="Z399" s="703" t="str">
        <f t="shared" si="550"/>
        <v>A</v>
      </c>
      <c r="AA399" s="703" t="str">
        <f t="shared" si="551"/>
        <v>A</v>
      </c>
      <c r="AB399" s="703" t="str">
        <f t="shared" si="552"/>
        <v>A</v>
      </c>
      <c r="AC399" s="703" t="str">
        <f t="shared" si="553"/>
        <v>A</v>
      </c>
      <c r="AD399" s="804"/>
      <c r="AE399" s="804"/>
      <c r="AF399" s="791"/>
      <c r="AG399" s="798"/>
      <c r="AH399" s="928"/>
      <c r="AI399" s="732"/>
      <c r="AJ399" s="733"/>
    </row>
    <row r="400" spans="1:52" hidden="1" outlineLevel="1" x14ac:dyDescent="0.25">
      <c r="A400" s="159"/>
      <c r="B400" s="1359"/>
      <c r="C400" s="667" t="str">
        <f>'Optimalizačné opatrenia'!$B$6</f>
        <v>Elektronizácia</v>
      </c>
      <c r="D400" s="718" t="s">
        <v>530</v>
      </c>
      <c r="E400" s="703" t="str">
        <f t="shared" si="540"/>
        <v>A</v>
      </c>
      <c r="F400" s="703" t="str">
        <f t="shared" si="540"/>
        <v>A</v>
      </c>
      <c r="G400" s="703" t="str">
        <f t="shared" si="540"/>
        <v>A</v>
      </c>
      <c r="H400" s="703"/>
      <c r="I400" s="703"/>
      <c r="J400" s="703"/>
      <c r="K400" s="703"/>
      <c r="L400" s="703" t="str">
        <f t="shared" si="541"/>
        <v>A</v>
      </c>
      <c r="M400" s="703" t="str">
        <f t="shared" si="541"/>
        <v>N</v>
      </c>
      <c r="N400" s="703" t="str">
        <f t="shared" si="541"/>
        <v>N</v>
      </c>
      <c r="O400" s="703"/>
      <c r="P400" s="703" t="str">
        <f t="shared" si="542"/>
        <v>A</v>
      </c>
      <c r="Q400" s="703" t="str">
        <f t="shared" si="542"/>
        <v>A</v>
      </c>
      <c r="R400" s="703" t="str">
        <f t="shared" si="542"/>
        <v>A</v>
      </c>
      <c r="S400" s="703" t="str">
        <f t="shared" si="543"/>
        <v>A</v>
      </c>
      <c r="T400" s="703" t="str">
        <f t="shared" si="544"/>
        <v>A</v>
      </c>
      <c r="U400" s="703" t="str">
        <f t="shared" si="545"/>
        <v>A</v>
      </c>
      <c r="V400" s="703" t="str">
        <f t="shared" si="546"/>
        <v>A</v>
      </c>
      <c r="W400" s="703" t="str">
        <f t="shared" si="547"/>
        <v>A</v>
      </c>
      <c r="X400" s="703" t="str">
        <f t="shared" si="548"/>
        <v>A</v>
      </c>
      <c r="Y400" s="703" t="str">
        <f t="shared" si="549"/>
        <v>A</v>
      </c>
      <c r="Z400" s="703" t="str">
        <f t="shared" si="550"/>
        <v>A</v>
      </c>
      <c r="AA400" s="703" t="str">
        <f t="shared" si="551"/>
        <v>A</v>
      </c>
      <c r="AB400" s="703" t="str">
        <f t="shared" si="552"/>
        <v>A</v>
      </c>
      <c r="AC400" s="703" t="str">
        <f t="shared" si="553"/>
        <v>A</v>
      </c>
      <c r="AD400" s="804"/>
      <c r="AE400" s="804"/>
      <c r="AF400" s="791"/>
      <c r="AG400" s="798"/>
      <c r="AH400" s="928"/>
      <c r="AI400" s="732"/>
      <c r="AJ400" s="733"/>
    </row>
    <row r="401" spans="1:52" hidden="1" outlineLevel="1" x14ac:dyDescent="0.25">
      <c r="A401" s="159"/>
      <c r="B401" s="1359"/>
      <c r="C401" s="667" t="str">
        <f>'Optimalizačné opatrenia'!$B$7</f>
        <v>Automatizácia</v>
      </c>
      <c r="D401" s="718" t="s">
        <v>530</v>
      </c>
      <c r="E401" s="703" t="str">
        <f t="shared" si="540"/>
        <v>A</v>
      </c>
      <c r="F401" s="703" t="str">
        <f t="shared" si="540"/>
        <v>A</v>
      </c>
      <c r="G401" s="703" t="str">
        <f t="shared" si="540"/>
        <v>A</v>
      </c>
      <c r="H401" s="703"/>
      <c r="I401" s="703"/>
      <c r="J401" s="703"/>
      <c r="K401" s="703"/>
      <c r="L401" s="703" t="str">
        <f t="shared" si="541"/>
        <v>A</v>
      </c>
      <c r="M401" s="703" t="str">
        <f t="shared" si="541"/>
        <v>N</v>
      </c>
      <c r="N401" s="703" t="str">
        <f t="shared" si="541"/>
        <v>N</v>
      </c>
      <c r="O401" s="703"/>
      <c r="P401" s="703" t="str">
        <f t="shared" si="542"/>
        <v>A</v>
      </c>
      <c r="Q401" s="703" t="str">
        <f t="shared" si="542"/>
        <v>A</v>
      </c>
      <c r="R401" s="703" t="str">
        <f t="shared" si="542"/>
        <v>A</v>
      </c>
      <c r="S401" s="703" t="str">
        <f t="shared" si="543"/>
        <v>A</v>
      </c>
      <c r="T401" s="703" t="str">
        <f t="shared" si="544"/>
        <v>A</v>
      </c>
      <c r="U401" s="703" t="str">
        <f t="shared" si="545"/>
        <v>A</v>
      </c>
      <c r="V401" s="703" t="str">
        <f t="shared" si="546"/>
        <v>A</v>
      </c>
      <c r="W401" s="703" t="str">
        <f t="shared" si="547"/>
        <v>A</v>
      </c>
      <c r="X401" s="703" t="str">
        <f t="shared" si="548"/>
        <v>A</v>
      </c>
      <c r="Y401" s="703" t="str">
        <f t="shared" si="549"/>
        <v>A</v>
      </c>
      <c r="Z401" s="703" t="str">
        <f t="shared" si="550"/>
        <v>A</v>
      </c>
      <c r="AA401" s="703" t="str">
        <f t="shared" si="551"/>
        <v>A</v>
      </c>
      <c r="AB401" s="703" t="str">
        <f t="shared" si="552"/>
        <v>A</v>
      </c>
      <c r="AC401" s="703" t="str">
        <f t="shared" si="553"/>
        <v>A</v>
      </c>
      <c r="AD401" s="804"/>
      <c r="AE401" s="804"/>
      <c r="AF401" s="791"/>
      <c r="AG401" s="798"/>
      <c r="AH401" s="928"/>
      <c r="AI401" s="732"/>
      <c r="AJ401" s="733"/>
    </row>
    <row r="402" spans="1:52" hidden="1" outlineLevel="1" x14ac:dyDescent="0.25">
      <c r="A402" s="159"/>
      <c r="B402" s="1359"/>
      <c r="C402" s="667" t="str">
        <f>'Optimalizačné opatrenia'!$B$8</f>
        <v>Bezpečnosť</v>
      </c>
      <c r="D402" s="718" t="s">
        <v>530</v>
      </c>
      <c r="E402" s="703" t="str">
        <f t="shared" si="540"/>
        <v>N</v>
      </c>
      <c r="F402" s="703" t="str">
        <f t="shared" si="540"/>
        <v>A</v>
      </c>
      <c r="G402" s="703" t="str">
        <f t="shared" si="540"/>
        <v>A</v>
      </c>
      <c r="H402" s="703"/>
      <c r="I402" s="703"/>
      <c r="J402" s="703"/>
      <c r="K402" s="703"/>
      <c r="L402" s="703" t="str">
        <f t="shared" si="541"/>
        <v>A</v>
      </c>
      <c r="M402" s="703" t="str">
        <f t="shared" si="541"/>
        <v>N</v>
      </c>
      <c r="N402" s="703" t="str">
        <f t="shared" si="541"/>
        <v>N</v>
      </c>
      <c r="O402" s="703"/>
      <c r="P402" s="703" t="str">
        <f t="shared" si="542"/>
        <v>A</v>
      </c>
      <c r="Q402" s="703" t="str">
        <f t="shared" si="542"/>
        <v>A</v>
      </c>
      <c r="R402" s="703" t="str">
        <f t="shared" si="542"/>
        <v>A</v>
      </c>
      <c r="S402" s="703" t="str">
        <f t="shared" si="543"/>
        <v>A</v>
      </c>
      <c r="T402" s="703" t="str">
        <f t="shared" si="544"/>
        <v>A</v>
      </c>
      <c r="U402" s="703" t="str">
        <f t="shared" si="545"/>
        <v>A</v>
      </c>
      <c r="V402" s="703" t="str">
        <f t="shared" si="546"/>
        <v>A</v>
      </c>
      <c r="W402" s="703" t="str">
        <f t="shared" si="547"/>
        <v>A</v>
      </c>
      <c r="X402" s="703" t="str">
        <f t="shared" si="548"/>
        <v>A</v>
      </c>
      <c r="Y402" s="703" t="str">
        <f t="shared" si="549"/>
        <v>A</v>
      </c>
      <c r="Z402" s="703" t="str">
        <f t="shared" si="550"/>
        <v>A</v>
      </c>
      <c r="AA402" s="703" t="str">
        <f t="shared" si="551"/>
        <v>A</v>
      </c>
      <c r="AB402" s="703" t="str">
        <f t="shared" si="552"/>
        <v>A</v>
      </c>
      <c r="AC402" s="703" t="str">
        <f t="shared" si="553"/>
        <v>A</v>
      </c>
      <c r="AD402" s="804"/>
      <c r="AE402" s="804"/>
      <c r="AF402" s="791"/>
      <c r="AG402" s="798"/>
      <c r="AH402" s="928"/>
      <c r="AI402" s="732"/>
      <c r="AJ402" s="733"/>
    </row>
    <row r="403" spans="1:52" hidden="1" outlineLevel="1" x14ac:dyDescent="0.25">
      <c r="A403" s="159"/>
      <c r="B403" s="1359"/>
      <c r="C403" s="667" t="str">
        <f>'Optimalizačné opatrenia'!$B$9</f>
        <v>Auditovateľnosť</v>
      </c>
      <c r="D403" s="718" t="s">
        <v>530</v>
      </c>
      <c r="E403" s="703" t="str">
        <f t="shared" si="540"/>
        <v>A</v>
      </c>
      <c r="F403" s="703" t="str">
        <f t="shared" si="540"/>
        <v>A</v>
      </c>
      <c r="G403" s="703" t="str">
        <f t="shared" si="540"/>
        <v>A</v>
      </c>
      <c r="H403" s="703"/>
      <c r="I403" s="703"/>
      <c r="J403" s="703"/>
      <c r="K403" s="703"/>
      <c r="L403" s="703" t="str">
        <f t="shared" si="541"/>
        <v>A</v>
      </c>
      <c r="M403" s="703" t="str">
        <f t="shared" si="541"/>
        <v>N</v>
      </c>
      <c r="N403" s="703" t="str">
        <f t="shared" si="541"/>
        <v>N</v>
      </c>
      <c r="O403" s="703"/>
      <c r="P403" s="703" t="str">
        <f t="shared" si="542"/>
        <v>A</v>
      </c>
      <c r="Q403" s="703" t="str">
        <f t="shared" si="542"/>
        <v>A</v>
      </c>
      <c r="R403" s="703" t="str">
        <f t="shared" si="542"/>
        <v>A</v>
      </c>
      <c r="S403" s="703" t="str">
        <f t="shared" si="543"/>
        <v>A</v>
      </c>
      <c r="T403" s="703" t="str">
        <f t="shared" si="544"/>
        <v>A</v>
      </c>
      <c r="U403" s="703" t="str">
        <f t="shared" si="545"/>
        <v>A</v>
      </c>
      <c r="V403" s="703" t="str">
        <f t="shared" si="546"/>
        <v>A</v>
      </c>
      <c r="W403" s="703" t="str">
        <f t="shared" si="547"/>
        <v>A</v>
      </c>
      <c r="X403" s="703" t="str">
        <f t="shared" si="548"/>
        <v>A</v>
      </c>
      <c r="Y403" s="703" t="str">
        <f t="shared" si="549"/>
        <v>A</v>
      </c>
      <c r="Z403" s="703" t="str">
        <f t="shared" si="550"/>
        <v>A</v>
      </c>
      <c r="AA403" s="703" t="str">
        <f t="shared" si="551"/>
        <v>A</v>
      </c>
      <c r="AB403" s="703" t="str">
        <f t="shared" si="552"/>
        <v>A</v>
      </c>
      <c r="AC403" s="703" t="str">
        <f t="shared" si="553"/>
        <v>A</v>
      </c>
      <c r="AD403" s="804"/>
      <c r="AE403" s="804"/>
      <c r="AF403" s="791"/>
      <c r="AG403" s="798"/>
      <c r="AH403" s="928"/>
      <c r="AI403" s="732"/>
      <c r="AJ403" s="733"/>
    </row>
    <row r="404" spans="1:52" hidden="1" outlineLevel="1" x14ac:dyDescent="0.25">
      <c r="A404" s="159"/>
      <c r="B404" s="1359"/>
      <c r="C404" s="667" t="str">
        <f>'Optimalizačné opatrenia'!$B$10</f>
        <v>Transparentnosť</v>
      </c>
      <c r="D404" s="718" t="s">
        <v>530</v>
      </c>
      <c r="E404" s="703" t="str">
        <f t="shared" si="540"/>
        <v>N</v>
      </c>
      <c r="F404" s="703" t="str">
        <f t="shared" si="540"/>
        <v>N</v>
      </c>
      <c r="G404" s="703" t="str">
        <f t="shared" si="540"/>
        <v>N</v>
      </c>
      <c r="H404" s="703"/>
      <c r="I404" s="703"/>
      <c r="J404" s="703"/>
      <c r="K404" s="703"/>
      <c r="L404" s="703" t="str">
        <f t="shared" si="541"/>
        <v>N</v>
      </c>
      <c r="M404" s="703" t="str">
        <f t="shared" si="541"/>
        <v>N</v>
      </c>
      <c r="N404" s="703" t="str">
        <f t="shared" si="541"/>
        <v>N</v>
      </c>
      <c r="O404" s="703"/>
      <c r="P404" s="703" t="str">
        <f t="shared" si="542"/>
        <v>A</v>
      </c>
      <c r="Q404" s="703" t="str">
        <f t="shared" si="542"/>
        <v>N</v>
      </c>
      <c r="R404" s="703" t="str">
        <f t="shared" si="542"/>
        <v>N</v>
      </c>
      <c r="S404" s="703" t="str">
        <f t="shared" si="543"/>
        <v>N</v>
      </c>
      <c r="T404" s="703" t="str">
        <f t="shared" si="544"/>
        <v>N</v>
      </c>
      <c r="U404" s="703" t="str">
        <f t="shared" si="545"/>
        <v>N</v>
      </c>
      <c r="V404" s="703" t="str">
        <f t="shared" si="546"/>
        <v>A</v>
      </c>
      <c r="W404" s="703" t="str">
        <f t="shared" si="547"/>
        <v>N</v>
      </c>
      <c r="X404" s="703" t="str">
        <f t="shared" si="548"/>
        <v>N</v>
      </c>
      <c r="Y404" s="703" t="str">
        <f t="shared" si="549"/>
        <v>N</v>
      </c>
      <c r="Z404" s="703" t="str">
        <f t="shared" si="550"/>
        <v>N</v>
      </c>
      <c r="AA404" s="703" t="str">
        <f t="shared" si="551"/>
        <v>A</v>
      </c>
      <c r="AB404" s="703" t="str">
        <f t="shared" si="552"/>
        <v>N</v>
      </c>
      <c r="AC404" s="703" t="str">
        <f t="shared" si="553"/>
        <v>N</v>
      </c>
      <c r="AD404" s="804"/>
      <c r="AE404" s="804"/>
      <c r="AF404" s="791"/>
      <c r="AG404" s="798"/>
      <c r="AH404" s="928"/>
      <c r="AI404" s="732"/>
      <c r="AJ404" s="733"/>
    </row>
    <row r="405" spans="1:52" hidden="1" outlineLevel="1" x14ac:dyDescent="0.25">
      <c r="A405" s="159"/>
      <c r="B405" s="1359"/>
      <c r="C405" s="667" t="str">
        <f>'Optimalizačné opatrenia'!$B$11</f>
        <v>Analyzovatelnosť</v>
      </c>
      <c r="D405" s="718" t="s">
        <v>530</v>
      </c>
      <c r="E405" s="703" t="str">
        <f t="shared" si="540"/>
        <v>N</v>
      </c>
      <c r="F405" s="703" t="str">
        <f t="shared" si="540"/>
        <v>A</v>
      </c>
      <c r="G405" s="703" t="str">
        <f t="shared" si="540"/>
        <v>A</v>
      </c>
      <c r="H405" s="703"/>
      <c r="I405" s="703"/>
      <c r="J405" s="703"/>
      <c r="K405" s="703"/>
      <c r="L405" s="703" t="str">
        <f t="shared" si="541"/>
        <v>A</v>
      </c>
      <c r="M405" s="703" t="str">
        <f t="shared" si="541"/>
        <v>N</v>
      </c>
      <c r="N405" s="703" t="str">
        <f t="shared" si="541"/>
        <v>N</v>
      </c>
      <c r="O405" s="703"/>
      <c r="P405" s="703" t="str">
        <f t="shared" si="542"/>
        <v>A</v>
      </c>
      <c r="Q405" s="703" t="str">
        <f t="shared" si="542"/>
        <v>A</v>
      </c>
      <c r="R405" s="703" t="str">
        <f t="shared" si="542"/>
        <v>A</v>
      </c>
      <c r="S405" s="703" t="str">
        <f t="shared" si="543"/>
        <v>A</v>
      </c>
      <c r="T405" s="703" t="str">
        <f t="shared" si="544"/>
        <v>A</v>
      </c>
      <c r="U405" s="703" t="str">
        <f t="shared" si="545"/>
        <v>A</v>
      </c>
      <c r="V405" s="703" t="str">
        <f t="shared" si="546"/>
        <v>A</v>
      </c>
      <c r="W405" s="703" t="str">
        <f t="shared" si="547"/>
        <v>A</v>
      </c>
      <c r="X405" s="703" t="str">
        <f t="shared" si="548"/>
        <v>A</v>
      </c>
      <c r="Y405" s="703" t="str">
        <f t="shared" si="549"/>
        <v>A</v>
      </c>
      <c r="Z405" s="703" t="str">
        <f t="shared" si="550"/>
        <v>A</v>
      </c>
      <c r="AA405" s="703" t="str">
        <f t="shared" si="551"/>
        <v>A</v>
      </c>
      <c r="AB405" s="703" t="str">
        <f t="shared" si="552"/>
        <v>A</v>
      </c>
      <c r="AC405" s="703" t="str">
        <f t="shared" si="553"/>
        <v>A</v>
      </c>
      <c r="AD405" s="804"/>
      <c r="AE405" s="804"/>
      <c r="AF405" s="791"/>
      <c r="AG405" s="798"/>
      <c r="AH405" s="928"/>
      <c r="AI405" s="732"/>
      <c r="AJ405" s="733"/>
    </row>
    <row r="406" spans="1:52" hidden="1" outlineLevel="1" x14ac:dyDescent="0.25">
      <c r="A406" s="159"/>
      <c r="B406" s="1359"/>
      <c r="C406" s="667" t="str">
        <f>'Optimalizačné opatrenia'!$B$12</f>
        <v>Integrácia</v>
      </c>
      <c r="D406" s="718" t="s">
        <v>530</v>
      </c>
      <c r="E406" s="703" t="str">
        <f t="shared" si="540"/>
        <v>A</v>
      </c>
      <c r="F406" s="703" t="str">
        <f t="shared" si="540"/>
        <v>A</v>
      </c>
      <c r="G406" s="703" t="str">
        <f t="shared" si="540"/>
        <v>A</v>
      </c>
      <c r="H406" s="703"/>
      <c r="I406" s="703"/>
      <c r="J406" s="703"/>
      <c r="K406" s="703"/>
      <c r="L406" s="703" t="str">
        <f t="shared" si="541"/>
        <v>A</v>
      </c>
      <c r="M406" s="703" t="str">
        <f t="shared" si="541"/>
        <v>N</v>
      </c>
      <c r="N406" s="703" t="str">
        <f t="shared" si="541"/>
        <v>N</v>
      </c>
      <c r="O406" s="703"/>
      <c r="P406" s="703" t="str">
        <f t="shared" si="542"/>
        <v>A</v>
      </c>
      <c r="Q406" s="703" t="str">
        <f t="shared" si="542"/>
        <v>A</v>
      </c>
      <c r="R406" s="703" t="str">
        <f t="shared" si="542"/>
        <v>A</v>
      </c>
      <c r="S406" s="703" t="str">
        <f t="shared" si="543"/>
        <v>A</v>
      </c>
      <c r="T406" s="703" t="str">
        <f t="shared" si="544"/>
        <v>A</v>
      </c>
      <c r="U406" s="703" t="str">
        <f t="shared" si="545"/>
        <v>A</v>
      </c>
      <c r="V406" s="703" t="str">
        <f t="shared" si="546"/>
        <v>A</v>
      </c>
      <c r="W406" s="703" t="str">
        <f t="shared" si="547"/>
        <v>A</v>
      </c>
      <c r="X406" s="703" t="str">
        <f t="shared" si="548"/>
        <v>A</v>
      </c>
      <c r="Y406" s="703" t="str">
        <f t="shared" si="549"/>
        <v>A</v>
      </c>
      <c r="Z406" s="703" t="str">
        <f t="shared" si="550"/>
        <v>A</v>
      </c>
      <c r="AA406" s="703" t="str">
        <f t="shared" si="551"/>
        <v>A</v>
      </c>
      <c r="AB406" s="703" t="str">
        <f t="shared" si="552"/>
        <v>A</v>
      </c>
      <c r="AC406" s="703" t="str">
        <f t="shared" si="553"/>
        <v>A</v>
      </c>
      <c r="AD406" s="804"/>
      <c r="AE406" s="804"/>
      <c r="AF406" s="791"/>
      <c r="AG406" s="798"/>
      <c r="AH406" s="928"/>
      <c r="AI406" s="732"/>
      <c r="AJ406" s="733"/>
    </row>
    <row r="407" spans="1:52" hidden="1" outlineLevel="1" x14ac:dyDescent="0.25">
      <c r="A407" s="159"/>
      <c r="B407" s="1359"/>
      <c r="C407" s="672" t="str">
        <f>'Optimalizačné opatrenia'!$B$13</f>
        <v>Proaktivita</v>
      </c>
      <c r="D407" s="718" t="s">
        <v>530</v>
      </c>
      <c r="E407" s="703" t="str">
        <f t="shared" si="540"/>
        <v>N</v>
      </c>
      <c r="F407" s="703" t="str">
        <f t="shared" si="540"/>
        <v>A</v>
      </c>
      <c r="G407" s="703" t="str">
        <f t="shared" si="540"/>
        <v>N</v>
      </c>
      <c r="H407" s="703"/>
      <c r="I407" s="703"/>
      <c r="J407" s="703"/>
      <c r="K407" s="703"/>
      <c r="L407" s="703" t="str">
        <f t="shared" si="541"/>
        <v>A</v>
      </c>
      <c r="M407" s="703" t="str">
        <f t="shared" si="541"/>
        <v>N</v>
      </c>
      <c r="N407" s="703" t="str">
        <f t="shared" si="541"/>
        <v>N</v>
      </c>
      <c r="O407" s="703"/>
      <c r="P407" s="703" t="str">
        <f t="shared" si="542"/>
        <v>N</v>
      </c>
      <c r="Q407" s="703" t="str">
        <f t="shared" si="542"/>
        <v>N</v>
      </c>
      <c r="R407" s="703" t="str">
        <f t="shared" si="542"/>
        <v>A</v>
      </c>
      <c r="S407" s="703" t="str">
        <f t="shared" si="543"/>
        <v>A</v>
      </c>
      <c r="T407" s="703" t="str">
        <f t="shared" si="544"/>
        <v>A</v>
      </c>
      <c r="U407" s="703" t="str">
        <f t="shared" si="545"/>
        <v>N</v>
      </c>
      <c r="V407" s="703" t="str">
        <f t="shared" si="546"/>
        <v>A</v>
      </c>
      <c r="W407" s="703" t="str">
        <f t="shared" si="547"/>
        <v>N</v>
      </c>
      <c r="X407" s="703" t="str">
        <f t="shared" si="548"/>
        <v>N</v>
      </c>
      <c r="Y407" s="703" t="str">
        <f t="shared" si="549"/>
        <v>A</v>
      </c>
      <c r="Z407" s="703" t="str">
        <f t="shared" si="550"/>
        <v>A</v>
      </c>
      <c r="AA407" s="703" t="str">
        <f t="shared" si="551"/>
        <v>A</v>
      </c>
      <c r="AB407" s="703" t="str">
        <f t="shared" si="552"/>
        <v>N</v>
      </c>
      <c r="AC407" s="703" t="str">
        <f t="shared" si="553"/>
        <v>A</v>
      </c>
      <c r="AD407" s="804"/>
      <c r="AE407" s="804"/>
      <c r="AF407" s="791"/>
      <c r="AG407" s="798"/>
      <c r="AH407" s="928"/>
      <c r="AI407" s="732"/>
      <c r="AJ407" s="733"/>
    </row>
    <row r="408" spans="1:52" hidden="1" outlineLevel="1" x14ac:dyDescent="0.25">
      <c r="A408" s="159"/>
      <c r="B408" s="720"/>
      <c r="C408" s="722" t="s">
        <v>538</v>
      </c>
      <c r="D408" s="723">
        <v>0</v>
      </c>
      <c r="E408" s="721">
        <f t="shared" si="540"/>
        <v>0.2</v>
      </c>
      <c r="F408" s="724">
        <f t="shared" si="540"/>
        <v>0.4</v>
      </c>
      <c r="G408" s="724">
        <f t="shared" si="540"/>
        <v>0.3</v>
      </c>
      <c r="H408" s="724"/>
      <c r="I408" s="724"/>
      <c r="J408" s="724"/>
      <c r="K408" s="724"/>
      <c r="L408" s="724">
        <f t="shared" si="541"/>
        <v>0.4</v>
      </c>
      <c r="M408" s="724">
        <f t="shared" si="541"/>
        <v>0</v>
      </c>
      <c r="N408" s="724">
        <f t="shared" si="541"/>
        <v>0</v>
      </c>
      <c r="O408" s="724"/>
      <c r="P408" s="724">
        <f t="shared" si="542"/>
        <v>0.45</v>
      </c>
      <c r="Q408" s="724">
        <f t="shared" si="542"/>
        <v>0.3</v>
      </c>
      <c r="R408" s="724">
        <f t="shared" si="542"/>
        <v>0.4</v>
      </c>
      <c r="S408" s="724">
        <f t="shared" si="543"/>
        <v>0.4</v>
      </c>
      <c r="T408" s="724">
        <f t="shared" si="544"/>
        <v>0.4</v>
      </c>
      <c r="U408" s="724">
        <f t="shared" si="545"/>
        <v>0.3</v>
      </c>
      <c r="V408" s="724">
        <f t="shared" si="546"/>
        <v>0.5</v>
      </c>
      <c r="W408" s="724">
        <f t="shared" si="547"/>
        <v>0.3</v>
      </c>
      <c r="X408" s="724">
        <f t="shared" si="548"/>
        <v>0.3</v>
      </c>
      <c r="Y408" s="724">
        <f t="shared" si="549"/>
        <v>0.4</v>
      </c>
      <c r="Z408" s="724">
        <f t="shared" si="550"/>
        <v>0.4</v>
      </c>
      <c r="AA408" s="724">
        <f t="shared" si="551"/>
        <v>0.5</v>
      </c>
      <c r="AB408" s="724">
        <f t="shared" si="552"/>
        <v>0.3</v>
      </c>
      <c r="AC408" s="724">
        <f t="shared" si="553"/>
        <v>0.4</v>
      </c>
      <c r="AD408" s="805"/>
      <c r="AE408" s="805"/>
      <c r="AF408" s="792"/>
      <c r="AG408" s="799"/>
      <c r="AH408" s="929"/>
      <c r="AI408" s="735"/>
      <c r="AJ408" s="736"/>
    </row>
    <row r="409" spans="1:52" ht="30" collapsed="1" x14ac:dyDescent="0.25">
      <c r="A409" s="159">
        <f ca="1">OFFSET(A409,-14,0)+1</f>
        <v>29</v>
      </c>
      <c r="B409" s="234" t="str">
        <f ca="1">'Procesy - AS IS'!B99</f>
        <v>Meranie č. 29</v>
      </c>
      <c r="C409" s="650" t="str">
        <f>'Procesy - AS IS'!C99</f>
        <v xml:space="preserve">Drogéria u Spuchláka, Malacky, Environmentálne označovanie, </v>
      </c>
      <c r="D409" s="726">
        <f>-'Procesy - AS IS'!D101*D422</f>
        <v>0</v>
      </c>
      <c r="E409" s="653">
        <f>-'Procesy - AS IS'!E101*E422</f>
        <v>-1.6</v>
      </c>
      <c r="F409" s="653">
        <f>-'Procesy - AS IS'!F101*F422</f>
        <v>0</v>
      </c>
      <c r="G409" s="653">
        <f>-'Procesy - AS IS'!G101*G422</f>
        <v>-3.5999999999999996</v>
      </c>
      <c r="H409" s="653" t="s">
        <v>555</v>
      </c>
      <c r="I409" s="653" t="s">
        <v>555</v>
      </c>
      <c r="J409" s="653" t="s">
        <v>555</v>
      </c>
      <c r="K409" s="653" t="s">
        <v>555</v>
      </c>
      <c r="L409" s="653">
        <f>-'Procesy - AS IS'!L101*L422</f>
        <v>-1.6</v>
      </c>
      <c r="M409" s="653">
        <f>-'Procesy - AS IS'!M101*M422</f>
        <v>0</v>
      </c>
      <c r="N409" s="653" t="s">
        <v>557</v>
      </c>
      <c r="O409" s="653" t="s">
        <v>559</v>
      </c>
      <c r="P409" s="653">
        <f>-'Procesy - AS IS'!P101*P422</f>
        <v>-3.6</v>
      </c>
      <c r="Q409" s="653">
        <f>-'Procesy - AS IS'!Q101*Q422</f>
        <v>0</v>
      </c>
      <c r="R409" s="653">
        <f>-'Procesy - AS IS'!R101*R422</f>
        <v>0</v>
      </c>
      <c r="S409" s="653">
        <f>-'Procesy - AS IS'!S101*S422</f>
        <v>-3.2</v>
      </c>
      <c r="T409" s="653">
        <f>-'Procesy - AS IS'!T101*T422</f>
        <v>0</v>
      </c>
      <c r="U409" s="653">
        <f>-'Procesy - AS IS'!U101*U422</f>
        <v>0</v>
      </c>
      <c r="V409" s="653">
        <f>-'Procesy - AS IS'!V101*V422</f>
        <v>-1.94</v>
      </c>
      <c r="W409" s="653">
        <f>-'Procesy - AS IS'!W101*W422</f>
        <v>0</v>
      </c>
      <c r="X409" s="653">
        <f>-'Procesy - AS IS'!X101*X422</f>
        <v>0</v>
      </c>
      <c r="Y409" s="653">
        <f>-'Procesy - AS IS'!Y101*Y422</f>
        <v>0</v>
      </c>
      <c r="Z409" s="653">
        <f>-'Procesy - AS IS'!Z101*Z422</f>
        <v>0</v>
      </c>
      <c r="AA409" s="653">
        <f>-'Procesy - AS IS'!AA101*AA422</f>
        <v>0</v>
      </c>
      <c r="AB409" s="653">
        <f>-'Procesy - AS IS'!AB101*AB422</f>
        <v>0</v>
      </c>
      <c r="AC409" s="653">
        <f>-'Procesy - AS IS'!AC101*AC422</f>
        <v>0</v>
      </c>
      <c r="AD409" s="754"/>
      <c r="AE409" s="754">
        <f>SUM(D409:AC409)</f>
        <v>-15.539999999999997</v>
      </c>
      <c r="AF409" s="728">
        <f>AE409/'Procesy - AS IS'!AD101</f>
        <v>-0.35414767547857784</v>
      </c>
      <c r="AG409" s="797">
        <f>('Procesy - AS IS'!AG98/(1+$AF409)-'Procesy - AS IS'!AG98)/2</f>
        <v>11.515172900493994</v>
      </c>
      <c r="AH409" s="927">
        <f>('Procesy - AS IS'!AH98/(1+$AF409)-'Procesy - AS IS'!AH98)/2</f>
        <v>0</v>
      </c>
      <c r="AI409" s="730">
        <f>('Procesy - AS IS'!AI98/(1+$AF409)-'Procesy - AS IS'!AI98)/2</f>
        <v>0</v>
      </c>
      <c r="AJ409" s="731">
        <f>('Procesy - AS IS'!AJ98/(1+$AF409)-'Procesy - AS IS'!AJ98)/2</f>
        <v>0</v>
      </c>
      <c r="AL409" s="232"/>
      <c r="AZ409" s="227"/>
    </row>
    <row r="410" spans="1:52" hidden="1" outlineLevel="1" x14ac:dyDescent="0.25">
      <c r="A410" s="159"/>
      <c r="B410" s="1358" t="s">
        <v>528</v>
      </c>
      <c r="C410" s="667" t="str">
        <f>'Optimalizačné opatrenia'!$B$2</f>
        <v>Modernizácia</v>
      </c>
      <c r="D410" s="703" t="s">
        <v>530</v>
      </c>
      <c r="E410" s="674" t="str">
        <f t="shared" ref="E410:F422" si="554">E354</f>
        <v>A</v>
      </c>
      <c r="F410" s="703" t="str">
        <f t="shared" si="554"/>
        <v>A</v>
      </c>
      <c r="G410" s="703" t="str">
        <f t="shared" ref="G410:G422" si="555">G396</f>
        <v>A</v>
      </c>
      <c r="H410" s="703"/>
      <c r="I410" s="703"/>
      <c r="J410" s="703"/>
      <c r="K410" s="703"/>
      <c r="L410" s="703" t="str">
        <f t="shared" ref="L410:N422" si="556">L396</f>
        <v>A</v>
      </c>
      <c r="M410" s="703" t="str">
        <f t="shared" si="556"/>
        <v>N</v>
      </c>
      <c r="N410" s="703" t="str">
        <f t="shared" si="556"/>
        <v>N</v>
      </c>
      <c r="O410" s="703"/>
      <c r="P410" s="703" t="str">
        <f t="shared" ref="P410:Q422" si="557">P354</f>
        <v>A</v>
      </c>
      <c r="Q410" s="703" t="str">
        <f t="shared" si="557"/>
        <v>A</v>
      </c>
      <c r="R410" s="703" t="str">
        <f t="shared" ref="R410:R422" si="558">R396</f>
        <v>A</v>
      </c>
      <c r="S410" s="703" t="str">
        <f t="shared" ref="S410:S422" si="559">R410</f>
        <v>A</v>
      </c>
      <c r="T410" s="703" t="str">
        <f t="shared" ref="T410:T422" si="560">R354</f>
        <v>A</v>
      </c>
      <c r="U410" s="703" t="str">
        <f t="shared" ref="U410:U422" si="561">$G410</f>
        <v>A</v>
      </c>
      <c r="V410" s="703" t="str">
        <f t="shared" ref="V410:V422" si="562">V354</f>
        <v>A</v>
      </c>
      <c r="W410" s="703" t="str">
        <f t="shared" ref="W410:W422" si="563">W10</f>
        <v>A</v>
      </c>
      <c r="X410" s="703" t="str">
        <f t="shared" ref="X410:X422" si="564">$G410</f>
        <v>A</v>
      </c>
      <c r="Y410" s="703" t="str">
        <f t="shared" ref="Y410:Y422" si="565">$R410</f>
        <v>A</v>
      </c>
      <c r="Z410" s="703" t="str">
        <f t="shared" ref="Z410:Z422" si="566">R354</f>
        <v>A</v>
      </c>
      <c r="AA410" s="703" t="str">
        <f t="shared" ref="AA410:AA422" si="567">$V410</f>
        <v>A</v>
      </c>
      <c r="AB410" s="703" t="str">
        <f t="shared" ref="AB410:AC422" si="568">$R410</f>
        <v>A</v>
      </c>
      <c r="AC410" s="703" t="str">
        <f t="shared" si="568"/>
        <v>A</v>
      </c>
      <c r="AD410" s="804"/>
      <c r="AE410" s="804"/>
      <c r="AF410" s="791"/>
      <c r="AG410" s="798"/>
      <c r="AH410" s="928"/>
      <c r="AI410" s="732"/>
      <c r="AJ410" s="733"/>
    </row>
    <row r="411" spans="1:52" hidden="1" outlineLevel="1" x14ac:dyDescent="0.25">
      <c r="A411" s="159"/>
      <c r="B411" s="1359"/>
      <c r="C411" s="667" t="str">
        <f>'Optimalizačné opatrenia'!$B$3</f>
        <v>Sfunkčnenie</v>
      </c>
      <c r="D411" s="718" t="s">
        <v>530</v>
      </c>
      <c r="E411" s="703" t="str">
        <f t="shared" si="554"/>
        <v>N</v>
      </c>
      <c r="F411" s="703" t="str">
        <f t="shared" si="554"/>
        <v>N</v>
      </c>
      <c r="G411" s="703" t="str">
        <f t="shared" si="555"/>
        <v>N</v>
      </c>
      <c r="H411" s="703"/>
      <c r="I411" s="703"/>
      <c r="J411" s="703"/>
      <c r="K411" s="703"/>
      <c r="L411" s="703" t="str">
        <f t="shared" si="556"/>
        <v>N</v>
      </c>
      <c r="M411" s="703" t="str">
        <f t="shared" si="556"/>
        <v>N</v>
      </c>
      <c r="N411" s="703" t="str">
        <f t="shared" si="556"/>
        <v>N</v>
      </c>
      <c r="O411" s="703"/>
      <c r="P411" s="703" t="str">
        <f t="shared" si="557"/>
        <v>N</v>
      </c>
      <c r="Q411" s="703" t="str">
        <f t="shared" si="557"/>
        <v>N</v>
      </c>
      <c r="R411" s="703" t="str">
        <f t="shared" si="558"/>
        <v>N</v>
      </c>
      <c r="S411" s="703" t="str">
        <f t="shared" si="559"/>
        <v>N</v>
      </c>
      <c r="T411" s="703" t="str">
        <f t="shared" si="560"/>
        <v>N</v>
      </c>
      <c r="U411" s="703" t="str">
        <f t="shared" si="561"/>
        <v>N</v>
      </c>
      <c r="V411" s="703" t="str">
        <f t="shared" si="562"/>
        <v>N</v>
      </c>
      <c r="W411" s="703" t="str">
        <f t="shared" si="563"/>
        <v>N</v>
      </c>
      <c r="X411" s="703" t="str">
        <f t="shared" si="564"/>
        <v>N</v>
      </c>
      <c r="Y411" s="703" t="str">
        <f t="shared" si="565"/>
        <v>N</v>
      </c>
      <c r="Z411" s="703" t="str">
        <f t="shared" si="566"/>
        <v>N</v>
      </c>
      <c r="AA411" s="703" t="str">
        <f t="shared" si="567"/>
        <v>N</v>
      </c>
      <c r="AB411" s="703" t="str">
        <f t="shared" si="568"/>
        <v>N</v>
      </c>
      <c r="AC411" s="703" t="str">
        <f t="shared" si="568"/>
        <v>N</v>
      </c>
      <c r="AD411" s="804"/>
      <c r="AE411" s="804"/>
      <c r="AF411" s="791"/>
      <c r="AG411" s="798"/>
      <c r="AH411" s="928"/>
      <c r="AI411" s="732"/>
      <c r="AJ411" s="733"/>
    </row>
    <row r="412" spans="1:52" hidden="1" outlineLevel="1" x14ac:dyDescent="0.25">
      <c r="A412" s="159"/>
      <c r="B412" s="1359"/>
      <c r="C412" s="667" t="str">
        <f>'Optimalizačné opatrenia'!$B$4</f>
        <v>Zjednotenie</v>
      </c>
      <c r="D412" s="718" t="s">
        <v>530</v>
      </c>
      <c r="E412" s="703" t="str">
        <f t="shared" si="554"/>
        <v>N</v>
      </c>
      <c r="F412" s="703" t="str">
        <f t="shared" si="554"/>
        <v>A</v>
      </c>
      <c r="G412" s="703" t="str">
        <f t="shared" si="555"/>
        <v>A</v>
      </c>
      <c r="H412" s="703"/>
      <c r="I412" s="703"/>
      <c r="J412" s="703"/>
      <c r="K412" s="703"/>
      <c r="L412" s="703" t="str">
        <f t="shared" si="556"/>
        <v>A</v>
      </c>
      <c r="M412" s="703" t="str">
        <f t="shared" si="556"/>
        <v>N</v>
      </c>
      <c r="N412" s="703" t="str">
        <f t="shared" si="556"/>
        <v>N</v>
      </c>
      <c r="O412" s="703"/>
      <c r="P412" s="703" t="str">
        <f t="shared" si="557"/>
        <v>A</v>
      </c>
      <c r="Q412" s="703" t="str">
        <f t="shared" si="557"/>
        <v>A</v>
      </c>
      <c r="R412" s="703" t="str">
        <f t="shared" si="558"/>
        <v>A</v>
      </c>
      <c r="S412" s="703" t="str">
        <f t="shared" si="559"/>
        <v>A</v>
      </c>
      <c r="T412" s="703" t="str">
        <f t="shared" si="560"/>
        <v>A</v>
      </c>
      <c r="U412" s="703" t="str">
        <f t="shared" si="561"/>
        <v>A</v>
      </c>
      <c r="V412" s="703" t="str">
        <f t="shared" si="562"/>
        <v>A</v>
      </c>
      <c r="W412" s="703" t="str">
        <f t="shared" si="563"/>
        <v>A</v>
      </c>
      <c r="X412" s="703" t="str">
        <f t="shared" si="564"/>
        <v>A</v>
      </c>
      <c r="Y412" s="703" t="str">
        <f t="shared" si="565"/>
        <v>A</v>
      </c>
      <c r="Z412" s="703" t="str">
        <f t="shared" si="566"/>
        <v>A</v>
      </c>
      <c r="AA412" s="703" t="str">
        <f t="shared" si="567"/>
        <v>A</v>
      </c>
      <c r="AB412" s="703" t="str">
        <f t="shared" si="568"/>
        <v>A</v>
      </c>
      <c r="AC412" s="703" t="str">
        <f t="shared" si="568"/>
        <v>A</v>
      </c>
      <c r="AD412" s="804"/>
      <c r="AE412" s="804"/>
      <c r="AF412" s="791"/>
      <c r="AG412" s="798"/>
      <c r="AH412" s="928"/>
      <c r="AI412" s="732"/>
      <c r="AJ412" s="733"/>
    </row>
    <row r="413" spans="1:52" hidden="1" outlineLevel="1" x14ac:dyDescent="0.25">
      <c r="A413" s="159"/>
      <c r="B413" s="1359"/>
      <c r="C413" s="667" t="str">
        <f>'Optimalizačné opatrenia'!$B$5</f>
        <v>Centralizácia</v>
      </c>
      <c r="D413" s="718" t="s">
        <v>530</v>
      </c>
      <c r="E413" s="703" t="str">
        <f t="shared" si="554"/>
        <v>N</v>
      </c>
      <c r="F413" s="703" t="str">
        <f t="shared" si="554"/>
        <v>A</v>
      </c>
      <c r="G413" s="703" t="str">
        <f t="shared" si="555"/>
        <v>A</v>
      </c>
      <c r="H413" s="703"/>
      <c r="I413" s="703"/>
      <c r="J413" s="703"/>
      <c r="K413" s="703"/>
      <c r="L413" s="703" t="str">
        <f t="shared" si="556"/>
        <v>A</v>
      </c>
      <c r="M413" s="703" t="str">
        <f t="shared" si="556"/>
        <v>N</v>
      </c>
      <c r="N413" s="703" t="str">
        <f t="shared" si="556"/>
        <v>N</v>
      </c>
      <c r="O413" s="703"/>
      <c r="P413" s="703" t="str">
        <f t="shared" si="557"/>
        <v>A</v>
      </c>
      <c r="Q413" s="703" t="str">
        <f t="shared" si="557"/>
        <v>A</v>
      </c>
      <c r="R413" s="703" t="str">
        <f t="shared" si="558"/>
        <v>A</v>
      </c>
      <c r="S413" s="703" t="str">
        <f t="shared" si="559"/>
        <v>A</v>
      </c>
      <c r="T413" s="703" t="str">
        <f t="shared" si="560"/>
        <v>A</v>
      </c>
      <c r="U413" s="703" t="str">
        <f t="shared" si="561"/>
        <v>A</v>
      </c>
      <c r="V413" s="703" t="str">
        <f t="shared" si="562"/>
        <v>A</v>
      </c>
      <c r="W413" s="703" t="str">
        <f t="shared" si="563"/>
        <v>A</v>
      </c>
      <c r="X413" s="703" t="str">
        <f t="shared" si="564"/>
        <v>A</v>
      </c>
      <c r="Y413" s="703" t="str">
        <f t="shared" si="565"/>
        <v>A</v>
      </c>
      <c r="Z413" s="703" t="str">
        <f t="shared" si="566"/>
        <v>A</v>
      </c>
      <c r="AA413" s="703" t="str">
        <f t="shared" si="567"/>
        <v>A</v>
      </c>
      <c r="AB413" s="703" t="str">
        <f t="shared" si="568"/>
        <v>A</v>
      </c>
      <c r="AC413" s="703" t="str">
        <f t="shared" si="568"/>
        <v>A</v>
      </c>
      <c r="AD413" s="804"/>
      <c r="AE413" s="804"/>
      <c r="AF413" s="791"/>
      <c r="AG413" s="798"/>
      <c r="AH413" s="928"/>
      <c r="AI413" s="732"/>
      <c r="AJ413" s="733"/>
    </row>
    <row r="414" spans="1:52" hidden="1" outlineLevel="1" x14ac:dyDescent="0.25">
      <c r="A414" s="159"/>
      <c r="B414" s="1359"/>
      <c r="C414" s="667" t="str">
        <f>'Optimalizačné opatrenia'!$B$6</f>
        <v>Elektronizácia</v>
      </c>
      <c r="D414" s="718" t="s">
        <v>530</v>
      </c>
      <c r="E414" s="703" t="str">
        <f t="shared" si="554"/>
        <v>A</v>
      </c>
      <c r="F414" s="703" t="str">
        <f t="shared" si="554"/>
        <v>A</v>
      </c>
      <c r="G414" s="703" t="str">
        <f t="shared" si="555"/>
        <v>A</v>
      </c>
      <c r="H414" s="703"/>
      <c r="I414" s="703"/>
      <c r="J414" s="703"/>
      <c r="K414" s="703"/>
      <c r="L414" s="703" t="str">
        <f t="shared" si="556"/>
        <v>A</v>
      </c>
      <c r="M414" s="703" t="str">
        <f t="shared" si="556"/>
        <v>N</v>
      </c>
      <c r="N414" s="703" t="str">
        <f t="shared" si="556"/>
        <v>N</v>
      </c>
      <c r="O414" s="703"/>
      <c r="P414" s="703" t="str">
        <f t="shared" si="557"/>
        <v>A</v>
      </c>
      <c r="Q414" s="703" t="str">
        <f t="shared" si="557"/>
        <v>A</v>
      </c>
      <c r="R414" s="703" t="str">
        <f t="shared" si="558"/>
        <v>A</v>
      </c>
      <c r="S414" s="703" t="str">
        <f t="shared" si="559"/>
        <v>A</v>
      </c>
      <c r="T414" s="703" t="str">
        <f t="shared" si="560"/>
        <v>A</v>
      </c>
      <c r="U414" s="703" t="str">
        <f t="shared" si="561"/>
        <v>A</v>
      </c>
      <c r="V414" s="703" t="str">
        <f t="shared" si="562"/>
        <v>A</v>
      </c>
      <c r="W414" s="703" t="str">
        <f t="shared" si="563"/>
        <v>A</v>
      </c>
      <c r="X414" s="703" t="str">
        <f t="shared" si="564"/>
        <v>A</v>
      </c>
      <c r="Y414" s="703" t="str">
        <f t="shared" si="565"/>
        <v>A</v>
      </c>
      <c r="Z414" s="703" t="str">
        <f t="shared" si="566"/>
        <v>A</v>
      </c>
      <c r="AA414" s="703" t="str">
        <f t="shared" si="567"/>
        <v>A</v>
      </c>
      <c r="AB414" s="703" t="str">
        <f t="shared" si="568"/>
        <v>A</v>
      </c>
      <c r="AC414" s="703" t="str">
        <f t="shared" si="568"/>
        <v>A</v>
      </c>
      <c r="AD414" s="804"/>
      <c r="AE414" s="804"/>
      <c r="AF414" s="791"/>
      <c r="AG414" s="798"/>
      <c r="AH414" s="928"/>
      <c r="AI414" s="732"/>
      <c r="AJ414" s="733"/>
    </row>
    <row r="415" spans="1:52" hidden="1" outlineLevel="1" x14ac:dyDescent="0.25">
      <c r="A415" s="159"/>
      <c r="B415" s="1359"/>
      <c r="C415" s="667" t="str">
        <f>'Optimalizačné opatrenia'!$B$7</f>
        <v>Automatizácia</v>
      </c>
      <c r="D415" s="718" t="s">
        <v>530</v>
      </c>
      <c r="E415" s="703" t="str">
        <f t="shared" si="554"/>
        <v>A</v>
      </c>
      <c r="F415" s="703" t="str">
        <f t="shared" si="554"/>
        <v>A</v>
      </c>
      <c r="G415" s="703" t="str">
        <f t="shared" si="555"/>
        <v>A</v>
      </c>
      <c r="H415" s="703"/>
      <c r="I415" s="703"/>
      <c r="J415" s="703"/>
      <c r="K415" s="703"/>
      <c r="L415" s="703" t="str">
        <f t="shared" si="556"/>
        <v>A</v>
      </c>
      <c r="M415" s="703" t="str">
        <f t="shared" si="556"/>
        <v>N</v>
      </c>
      <c r="N415" s="703" t="str">
        <f t="shared" si="556"/>
        <v>N</v>
      </c>
      <c r="O415" s="703"/>
      <c r="P415" s="703" t="str">
        <f t="shared" si="557"/>
        <v>A</v>
      </c>
      <c r="Q415" s="703" t="str">
        <f t="shared" si="557"/>
        <v>A</v>
      </c>
      <c r="R415" s="703" t="str">
        <f t="shared" si="558"/>
        <v>A</v>
      </c>
      <c r="S415" s="703" t="str">
        <f t="shared" si="559"/>
        <v>A</v>
      </c>
      <c r="T415" s="703" t="str">
        <f t="shared" si="560"/>
        <v>A</v>
      </c>
      <c r="U415" s="703" t="str">
        <f t="shared" si="561"/>
        <v>A</v>
      </c>
      <c r="V415" s="703" t="str">
        <f t="shared" si="562"/>
        <v>A</v>
      </c>
      <c r="W415" s="703" t="str">
        <f t="shared" si="563"/>
        <v>A</v>
      </c>
      <c r="X415" s="703" t="str">
        <f t="shared" si="564"/>
        <v>A</v>
      </c>
      <c r="Y415" s="703" t="str">
        <f t="shared" si="565"/>
        <v>A</v>
      </c>
      <c r="Z415" s="703" t="str">
        <f t="shared" si="566"/>
        <v>A</v>
      </c>
      <c r="AA415" s="703" t="str">
        <f t="shared" si="567"/>
        <v>A</v>
      </c>
      <c r="AB415" s="703" t="str">
        <f t="shared" si="568"/>
        <v>A</v>
      </c>
      <c r="AC415" s="703" t="str">
        <f t="shared" si="568"/>
        <v>A</v>
      </c>
      <c r="AD415" s="804"/>
      <c r="AE415" s="804"/>
      <c r="AF415" s="791"/>
      <c r="AG415" s="798"/>
      <c r="AH415" s="928"/>
      <c r="AI415" s="732"/>
      <c r="AJ415" s="733"/>
    </row>
    <row r="416" spans="1:52" hidden="1" outlineLevel="1" x14ac:dyDescent="0.25">
      <c r="A416" s="159"/>
      <c r="B416" s="1359"/>
      <c r="C416" s="667" t="str">
        <f>'Optimalizačné opatrenia'!$B$8</f>
        <v>Bezpečnosť</v>
      </c>
      <c r="D416" s="718" t="s">
        <v>530</v>
      </c>
      <c r="E416" s="703" t="str">
        <f t="shared" si="554"/>
        <v>N</v>
      </c>
      <c r="F416" s="703" t="str">
        <f t="shared" si="554"/>
        <v>A</v>
      </c>
      <c r="G416" s="703" t="str">
        <f t="shared" si="555"/>
        <v>A</v>
      </c>
      <c r="H416" s="703"/>
      <c r="I416" s="703"/>
      <c r="J416" s="703"/>
      <c r="K416" s="703"/>
      <c r="L416" s="703" t="str">
        <f t="shared" si="556"/>
        <v>A</v>
      </c>
      <c r="M416" s="703" t="str">
        <f t="shared" si="556"/>
        <v>N</v>
      </c>
      <c r="N416" s="703" t="str">
        <f t="shared" si="556"/>
        <v>N</v>
      </c>
      <c r="O416" s="703"/>
      <c r="P416" s="703" t="str">
        <f t="shared" si="557"/>
        <v>A</v>
      </c>
      <c r="Q416" s="703" t="str">
        <f t="shared" si="557"/>
        <v>A</v>
      </c>
      <c r="R416" s="703" t="str">
        <f t="shared" si="558"/>
        <v>A</v>
      </c>
      <c r="S416" s="703" t="str">
        <f t="shared" si="559"/>
        <v>A</v>
      </c>
      <c r="T416" s="703" t="str">
        <f t="shared" si="560"/>
        <v>A</v>
      </c>
      <c r="U416" s="703" t="str">
        <f t="shared" si="561"/>
        <v>A</v>
      </c>
      <c r="V416" s="703" t="str">
        <f t="shared" si="562"/>
        <v>A</v>
      </c>
      <c r="W416" s="703" t="str">
        <f t="shared" si="563"/>
        <v>A</v>
      </c>
      <c r="X416" s="703" t="str">
        <f t="shared" si="564"/>
        <v>A</v>
      </c>
      <c r="Y416" s="703" t="str">
        <f t="shared" si="565"/>
        <v>A</v>
      </c>
      <c r="Z416" s="703" t="str">
        <f t="shared" si="566"/>
        <v>A</v>
      </c>
      <c r="AA416" s="703" t="str">
        <f t="shared" si="567"/>
        <v>A</v>
      </c>
      <c r="AB416" s="703" t="str">
        <f t="shared" si="568"/>
        <v>A</v>
      </c>
      <c r="AC416" s="703" t="str">
        <f t="shared" si="568"/>
        <v>A</v>
      </c>
      <c r="AD416" s="804"/>
      <c r="AE416" s="804"/>
      <c r="AF416" s="791"/>
      <c r="AG416" s="798"/>
      <c r="AH416" s="928"/>
      <c r="AI416" s="732"/>
      <c r="AJ416" s="733"/>
    </row>
    <row r="417" spans="1:52" hidden="1" outlineLevel="1" x14ac:dyDescent="0.25">
      <c r="A417" s="159"/>
      <c r="B417" s="1359"/>
      <c r="C417" s="667" t="str">
        <f>'Optimalizačné opatrenia'!$B$9</f>
        <v>Auditovateľnosť</v>
      </c>
      <c r="D417" s="718" t="s">
        <v>530</v>
      </c>
      <c r="E417" s="703" t="str">
        <f t="shared" si="554"/>
        <v>A</v>
      </c>
      <c r="F417" s="703" t="str">
        <f t="shared" si="554"/>
        <v>A</v>
      </c>
      <c r="G417" s="703" t="str">
        <f t="shared" si="555"/>
        <v>A</v>
      </c>
      <c r="H417" s="703"/>
      <c r="I417" s="703"/>
      <c r="J417" s="703"/>
      <c r="K417" s="703"/>
      <c r="L417" s="703" t="str">
        <f t="shared" si="556"/>
        <v>A</v>
      </c>
      <c r="M417" s="703" t="str">
        <f t="shared" si="556"/>
        <v>N</v>
      </c>
      <c r="N417" s="703" t="str">
        <f t="shared" si="556"/>
        <v>N</v>
      </c>
      <c r="O417" s="703"/>
      <c r="P417" s="703" t="str">
        <f t="shared" si="557"/>
        <v>A</v>
      </c>
      <c r="Q417" s="703" t="str">
        <f t="shared" si="557"/>
        <v>A</v>
      </c>
      <c r="R417" s="703" t="str">
        <f t="shared" si="558"/>
        <v>A</v>
      </c>
      <c r="S417" s="703" t="str">
        <f t="shared" si="559"/>
        <v>A</v>
      </c>
      <c r="T417" s="703" t="str">
        <f t="shared" si="560"/>
        <v>A</v>
      </c>
      <c r="U417" s="703" t="str">
        <f t="shared" si="561"/>
        <v>A</v>
      </c>
      <c r="V417" s="703" t="str">
        <f t="shared" si="562"/>
        <v>A</v>
      </c>
      <c r="W417" s="703" t="str">
        <f t="shared" si="563"/>
        <v>A</v>
      </c>
      <c r="X417" s="703" t="str">
        <f t="shared" si="564"/>
        <v>A</v>
      </c>
      <c r="Y417" s="703" t="str">
        <f t="shared" si="565"/>
        <v>A</v>
      </c>
      <c r="Z417" s="703" t="str">
        <f t="shared" si="566"/>
        <v>A</v>
      </c>
      <c r="AA417" s="703" t="str">
        <f t="shared" si="567"/>
        <v>A</v>
      </c>
      <c r="AB417" s="703" t="str">
        <f t="shared" si="568"/>
        <v>A</v>
      </c>
      <c r="AC417" s="703" t="str">
        <f t="shared" si="568"/>
        <v>A</v>
      </c>
      <c r="AD417" s="804"/>
      <c r="AE417" s="804"/>
      <c r="AF417" s="791"/>
      <c r="AG417" s="798"/>
      <c r="AH417" s="928"/>
      <c r="AI417" s="732"/>
      <c r="AJ417" s="733"/>
    </row>
    <row r="418" spans="1:52" hidden="1" outlineLevel="1" x14ac:dyDescent="0.25">
      <c r="A418" s="159"/>
      <c r="B418" s="1359"/>
      <c r="C418" s="667" t="str">
        <f>'Optimalizačné opatrenia'!$B$10</f>
        <v>Transparentnosť</v>
      </c>
      <c r="D418" s="718" t="s">
        <v>530</v>
      </c>
      <c r="E418" s="703" t="str">
        <f t="shared" si="554"/>
        <v>N</v>
      </c>
      <c r="F418" s="703" t="str">
        <f t="shared" si="554"/>
        <v>N</v>
      </c>
      <c r="G418" s="703" t="str">
        <f t="shared" si="555"/>
        <v>N</v>
      </c>
      <c r="H418" s="703"/>
      <c r="I418" s="703"/>
      <c r="J418" s="703"/>
      <c r="K418" s="703"/>
      <c r="L418" s="703" t="str">
        <f t="shared" si="556"/>
        <v>N</v>
      </c>
      <c r="M418" s="703" t="str">
        <f t="shared" si="556"/>
        <v>N</v>
      </c>
      <c r="N418" s="703" t="str">
        <f t="shared" si="556"/>
        <v>N</v>
      </c>
      <c r="O418" s="703"/>
      <c r="P418" s="703" t="str">
        <f t="shared" si="557"/>
        <v>A</v>
      </c>
      <c r="Q418" s="703" t="str">
        <f t="shared" si="557"/>
        <v>N</v>
      </c>
      <c r="R418" s="703" t="str">
        <f t="shared" si="558"/>
        <v>N</v>
      </c>
      <c r="S418" s="703" t="str">
        <f t="shared" si="559"/>
        <v>N</v>
      </c>
      <c r="T418" s="703" t="str">
        <f t="shared" si="560"/>
        <v>N</v>
      </c>
      <c r="U418" s="703" t="str">
        <f t="shared" si="561"/>
        <v>N</v>
      </c>
      <c r="V418" s="703" t="str">
        <f t="shared" si="562"/>
        <v>A</v>
      </c>
      <c r="W418" s="703" t="str">
        <f t="shared" si="563"/>
        <v>N</v>
      </c>
      <c r="X418" s="703" t="str">
        <f t="shared" si="564"/>
        <v>N</v>
      </c>
      <c r="Y418" s="703" t="str">
        <f t="shared" si="565"/>
        <v>N</v>
      </c>
      <c r="Z418" s="703" t="str">
        <f t="shared" si="566"/>
        <v>N</v>
      </c>
      <c r="AA418" s="703" t="str">
        <f t="shared" si="567"/>
        <v>A</v>
      </c>
      <c r="AB418" s="703" t="str">
        <f t="shared" si="568"/>
        <v>N</v>
      </c>
      <c r="AC418" s="703" t="str">
        <f t="shared" si="568"/>
        <v>N</v>
      </c>
      <c r="AD418" s="804"/>
      <c r="AE418" s="804"/>
      <c r="AF418" s="791"/>
      <c r="AG418" s="798"/>
      <c r="AH418" s="928"/>
      <c r="AI418" s="732"/>
      <c r="AJ418" s="733"/>
    </row>
    <row r="419" spans="1:52" hidden="1" outlineLevel="1" x14ac:dyDescent="0.25">
      <c r="A419" s="159"/>
      <c r="B419" s="1359"/>
      <c r="C419" s="667" t="str">
        <f>'Optimalizačné opatrenia'!$B$11</f>
        <v>Analyzovatelnosť</v>
      </c>
      <c r="D419" s="718" t="s">
        <v>530</v>
      </c>
      <c r="E419" s="703" t="str">
        <f t="shared" si="554"/>
        <v>N</v>
      </c>
      <c r="F419" s="703" t="str">
        <f t="shared" si="554"/>
        <v>A</v>
      </c>
      <c r="G419" s="703" t="str">
        <f t="shared" si="555"/>
        <v>A</v>
      </c>
      <c r="H419" s="703"/>
      <c r="I419" s="703"/>
      <c r="J419" s="703"/>
      <c r="K419" s="703"/>
      <c r="L419" s="703" t="str">
        <f t="shared" si="556"/>
        <v>A</v>
      </c>
      <c r="M419" s="703" t="str">
        <f t="shared" si="556"/>
        <v>N</v>
      </c>
      <c r="N419" s="703" t="str">
        <f t="shared" si="556"/>
        <v>N</v>
      </c>
      <c r="O419" s="703"/>
      <c r="P419" s="703" t="str">
        <f t="shared" si="557"/>
        <v>A</v>
      </c>
      <c r="Q419" s="703" t="str">
        <f t="shared" si="557"/>
        <v>A</v>
      </c>
      <c r="R419" s="703" t="str">
        <f t="shared" si="558"/>
        <v>A</v>
      </c>
      <c r="S419" s="703" t="str">
        <f t="shared" si="559"/>
        <v>A</v>
      </c>
      <c r="T419" s="703" t="str">
        <f t="shared" si="560"/>
        <v>A</v>
      </c>
      <c r="U419" s="703" t="str">
        <f t="shared" si="561"/>
        <v>A</v>
      </c>
      <c r="V419" s="703" t="str">
        <f t="shared" si="562"/>
        <v>A</v>
      </c>
      <c r="W419" s="703" t="str">
        <f t="shared" si="563"/>
        <v>A</v>
      </c>
      <c r="X419" s="703" t="str">
        <f t="shared" si="564"/>
        <v>A</v>
      </c>
      <c r="Y419" s="703" t="str">
        <f t="shared" si="565"/>
        <v>A</v>
      </c>
      <c r="Z419" s="703" t="str">
        <f t="shared" si="566"/>
        <v>A</v>
      </c>
      <c r="AA419" s="703" t="str">
        <f t="shared" si="567"/>
        <v>A</v>
      </c>
      <c r="AB419" s="703" t="str">
        <f t="shared" si="568"/>
        <v>A</v>
      </c>
      <c r="AC419" s="703" t="str">
        <f t="shared" si="568"/>
        <v>A</v>
      </c>
      <c r="AD419" s="804"/>
      <c r="AE419" s="804"/>
      <c r="AF419" s="791"/>
      <c r="AG419" s="798"/>
      <c r="AH419" s="928"/>
      <c r="AI419" s="732"/>
      <c r="AJ419" s="733"/>
    </row>
    <row r="420" spans="1:52" hidden="1" outlineLevel="1" x14ac:dyDescent="0.25">
      <c r="A420" s="159"/>
      <c r="B420" s="1359"/>
      <c r="C420" s="667" t="str">
        <f>'Optimalizačné opatrenia'!$B$12</f>
        <v>Integrácia</v>
      </c>
      <c r="D420" s="718" t="s">
        <v>530</v>
      </c>
      <c r="E420" s="703" t="str">
        <f t="shared" si="554"/>
        <v>A</v>
      </c>
      <c r="F420" s="703" t="str">
        <f t="shared" si="554"/>
        <v>A</v>
      </c>
      <c r="G420" s="703" t="str">
        <f t="shared" si="555"/>
        <v>A</v>
      </c>
      <c r="H420" s="703"/>
      <c r="I420" s="703"/>
      <c r="J420" s="703"/>
      <c r="K420" s="703"/>
      <c r="L420" s="703" t="str">
        <f t="shared" si="556"/>
        <v>A</v>
      </c>
      <c r="M420" s="703" t="str">
        <f t="shared" si="556"/>
        <v>N</v>
      </c>
      <c r="N420" s="703" t="str">
        <f t="shared" si="556"/>
        <v>N</v>
      </c>
      <c r="O420" s="703"/>
      <c r="P420" s="703" t="str">
        <f t="shared" si="557"/>
        <v>A</v>
      </c>
      <c r="Q420" s="703" t="str">
        <f t="shared" si="557"/>
        <v>A</v>
      </c>
      <c r="R420" s="703" t="str">
        <f t="shared" si="558"/>
        <v>A</v>
      </c>
      <c r="S420" s="703" t="str">
        <f t="shared" si="559"/>
        <v>A</v>
      </c>
      <c r="T420" s="703" t="str">
        <f t="shared" si="560"/>
        <v>A</v>
      </c>
      <c r="U420" s="703" t="str">
        <f t="shared" si="561"/>
        <v>A</v>
      </c>
      <c r="V420" s="703" t="str">
        <f t="shared" si="562"/>
        <v>A</v>
      </c>
      <c r="W420" s="703" t="str">
        <f t="shared" si="563"/>
        <v>A</v>
      </c>
      <c r="X420" s="703" t="str">
        <f t="shared" si="564"/>
        <v>A</v>
      </c>
      <c r="Y420" s="703" t="str">
        <f t="shared" si="565"/>
        <v>A</v>
      </c>
      <c r="Z420" s="703" t="str">
        <f t="shared" si="566"/>
        <v>A</v>
      </c>
      <c r="AA420" s="703" t="str">
        <f t="shared" si="567"/>
        <v>A</v>
      </c>
      <c r="AB420" s="703" t="str">
        <f t="shared" si="568"/>
        <v>A</v>
      </c>
      <c r="AC420" s="703" t="str">
        <f t="shared" si="568"/>
        <v>A</v>
      </c>
      <c r="AD420" s="804"/>
      <c r="AE420" s="804"/>
      <c r="AF420" s="791"/>
      <c r="AG420" s="798"/>
      <c r="AH420" s="928"/>
      <c r="AI420" s="732"/>
      <c r="AJ420" s="733"/>
    </row>
    <row r="421" spans="1:52" hidden="1" outlineLevel="1" x14ac:dyDescent="0.25">
      <c r="A421" s="159"/>
      <c r="B421" s="1359"/>
      <c r="C421" s="672" t="str">
        <f>'Optimalizačné opatrenia'!$B$13</f>
        <v>Proaktivita</v>
      </c>
      <c r="D421" s="718" t="s">
        <v>530</v>
      </c>
      <c r="E421" s="703" t="str">
        <f t="shared" si="554"/>
        <v>N</v>
      </c>
      <c r="F421" s="703" t="str">
        <f t="shared" si="554"/>
        <v>A</v>
      </c>
      <c r="G421" s="703" t="str">
        <f t="shared" si="555"/>
        <v>N</v>
      </c>
      <c r="H421" s="703"/>
      <c r="I421" s="703"/>
      <c r="J421" s="703"/>
      <c r="K421" s="703"/>
      <c r="L421" s="703" t="str">
        <f t="shared" si="556"/>
        <v>A</v>
      </c>
      <c r="M421" s="703" t="str">
        <f t="shared" si="556"/>
        <v>N</v>
      </c>
      <c r="N421" s="703" t="str">
        <f t="shared" si="556"/>
        <v>N</v>
      </c>
      <c r="O421" s="703"/>
      <c r="P421" s="703" t="str">
        <f t="shared" si="557"/>
        <v>N</v>
      </c>
      <c r="Q421" s="703" t="str">
        <f t="shared" si="557"/>
        <v>N</v>
      </c>
      <c r="R421" s="703" t="str">
        <f t="shared" si="558"/>
        <v>A</v>
      </c>
      <c r="S421" s="703" t="str">
        <f t="shared" si="559"/>
        <v>A</v>
      </c>
      <c r="T421" s="703" t="str">
        <f t="shared" si="560"/>
        <v>A</v>
      </c>
      <c r="U421" s="703" t="str">
        <f t="shared" si="561"/>
        <v>N</v>
      </c>
      <c r="V421" s="703" t="str">
        <f t="shared" si="562"/>
        <v>A</v>
      </c>
      <c r="W421" s="703" t="str">
        <f t="shared" si="563"/>
        <v>N</v>
      </c>
      <c r="X421" s="703" t="str">
        <f t="shared" si="564"/>
        <v>N</v>
      </c>
      <c r="Y421" s="703" t="str">
        <f t="shared" si="565"/>
        <v>A</v>
      </c>
      <c r="Z421" s="703" t="str">
        <f t="shared" si="566"/>
        <v>A</v>
      </c>
      <c r="AA421" s="703" t="str">
        <f t="shared" si="567"/>
        <v>A</v>
      </c>
      <c r="AB421" s="703" t="str">
        <f t="shared" si="568"/>
        <v>A</v>
      </c>
      <c r="AC421" s="703" t="str">
        <f t="shared" si="568"/>
        <v>A</v>
      </c>
      <c r="AD421" s="804"/>
      <c r="AE421" s="804"/>
      <c r="AF421" s="791"/>
      <c r="AG421" s="798"/>
      <c r="AH421" s="928"/>
      <c r="AI421" s="732"/>
      <c r="AJ421" s="733"/>
    </row>
    <row r="422" spans="1:52" hidden="1" outlineLevel="1" x14ac:dyDescent="0.25">
      <c r="A422" s="159"/>
      <c r="B422" s="720"/>
      <c r="C422" s="722" t="s">
        <v>538</v>
      </c>
      <c r="D422" s="723">
        <v>0</v>
      </c>
      <c r="E422" s="721">
        <f t="shared" si="554"/>
        <v>0.2</v>
      </c>
      <c r="F422" s="724">
        <f t="shared" si="554"/>
        <v>0.4</v>
      </c>
      <c r="G422" s="724">
        <f t="shared" si="555"/>
        <v>0.3</v>
      </c>
      <c r="H422" s="724"/>
      <c r="I422" s="724"/>
      <c r="J422" s="724"/>
      <c r="K422" s="724"/>
      <c r="L422" s="724">
        <f t="shared" si="556"/>
        <v>0.4</v>
      </c>
      <c r="M422" s="724">
        <f t="shared" si="556"/>
        <v>0</v>
      </c>
      <c r="N422" s="724">
        <f t="shared" si="556"/>
        <v>0</v>
      </c>
      <c r="O422" s="724"/>
      <c r="P422" s="724">
        <f t="shared" si="557"/>
        <v>0.45</v>
      </c>
      <c r="Q422" s="724">
        <f t="shared" si="557"/>
        <v>0.3</v>
      </c>
      <c r="R422" s="724">
        <f t="shared" si="558"/>
        <v>0.4</v>
      </c>
      <c r="S422" s="724">
        <f t="shared" si="559"/>
        <v>0.4</v>
      </c>
      <c r="T422" s="724">
        <f t="shared" si="560"/>
        <v>0.4</v>
      </c>
      <c r="U422" s="724">
        <f t="shared" si="561"/>
        <v>0.3</v>
      </c>
      <c r="V422" s="724">
        <f t="shared" si="562"/>
        <v>0.5</v>
      </c>
      <c r="W422" s="724">
        <f t="shared" si="563"/>
        <v>0.3</v>
      </c>
      <c r="X422" s="724">
        <f t="shared" si="564"/>
        <v>0.3</v>
      </c>
      <c r="Y422" s="724">
        <f t="shared" si="565"/>
        <v>0.4</v>
      </c>
      <c r="Z422" s="724">
        <f t="shared" si="566"/>
        <v>0.4</v>
      </c>
      <c r="AA422" s="724">
        <f t="shared" si="567"/>
        <v>0.5</v>
      </c>
      <c r="AB422" s="724">
        <f t="shared" si="568"/>
        <v>0.4</v>
      </c>
      <c r="AC422" s="724">
        <f t="shared" si="568"/>
        <v>0.4</v>
      </c>
      <c r="AD422" s="805"/>
      <c r="AE422" s="805"/>
      <c r="AF422" s="792"/>
      <c r="AG422" s="799"/>
      <c r="AH422" s="929"/>
      <c r="AI422" s="735"/>
      <c r="AJ422" s="736"/>
    </row>
    <row r="423" spans="1:52" ht="15.75" collapsed="1" thickBot="1" x14ac:dyDescent="0.3">
      <c r="A423" s="159"/>
      <c r="B423" s="741"/>
      <c r="C423" s="742" t="s">
        <v>588</v>
      </c>
      <c r="D423" s="743"/>
      <c r="E423" s="743"/>
      <c r="F423" s="743"/>
      <c r="G423" s="744"/>
      <c r="H423" s="744"/>
      <c r="I423" s="744"/>
      <c r="J423" s="744"/>
      <c r="K423" s="744"/>
      <c r="L423" s="744"/>
      <c r="M423" s="744"/>
      <c r="N423" s="744"/>
      <c r="O423" s="744"/>
      <c r="P423" s="744"/>
      <c r="Q423" s="744"/>
      <c r="R423" s="744"/>
      <c r="S423" s="744"/>
      <c r="T423" s="744"/>
      <c r="U423" s="744"/>
      <c r="V423" s="744"/>
      <c r="W423" s="744"/>
      <c r="X423" s="744"/>
      <c r="Y423" s="744"/>
      <c r="Z423" s="744"/>
      <c r="AA423" s="744"/>
      <c r="AB423" s="744"/>
      <c r="AC423" s="744"/>
      <c r="AD423" s="751"/>
      <c r="AE423" s="751"/>
      <c r="AF423" s="793"/>
      <c r="AG423" s="800">
        <f>'Procesy - AS IS'!AG102/(1+$AF352)-'Procesy - AS IS'!AG102</f>
        <v>2.1548255051535392</v>
      </c>
      <c r="AH423" s="930">
        <f>'Procesy - AS IS'!AH102/(1+$AF352)-'Procesy - AS IS'!AH102</f>
        <v>0</v>
      </c>
      <c r="AI423" s="746">
        <f>'Procesy - AS IS'!AI102/(1+$AF352)-'Procesy - AS IS'!AI102</f>
        <v>0</v>
      </c>
      <c r="AJ423" s="747">
        <f>'Procesy - AS IS'!AJ102/(1+$AF352)-'Procesy - AS IS'!AJ102</f>
        <v>0</v>
      </c>
    </row>
    <row r="424" spans="1:52" x14ac:dyDescent="0.25">
      <c r="A424" s="159"/>
      <c r="B424" s="657" t="str">
        <f>'Procesy - AS IS'!B103</f>
        <v>Zdroj 6</v>
      </c>
      <c r="C424" s="658" t="str">
        <f>'Procesy - AS IS'!C103</f>
        <v>Integrované povoľovanie a kontrola</v>
      </c>
      <c r="D424" s="726">
        <f>D425*$AG425/($AG424-$AG439)</f>
        <v>0</v>
      </c>
      <c r="E424" s="651">
        <f>E425*$AG425/($AG424-$AG439)</f>
        <v>0</v>
      </c>
      <c r="F424" s="651">
        <f>F425*$AG425/($AG424-$AG439)</f>
        <v>0</v>
      </c>
      <c r="G424" s="661">
        <f>G425*$AG425/($AG424-$AG439)</f>
        <v>-8.4</v>
      </c>
      <c r="H424" s="654"/>
      <c r="I424" s="654"/>
      <c r="J424" s="654"/>
      <c r="K424" s="654"/>
      <c r="L424" s="654"/>
      <c r="M424" s="661">
        <f>M425*$AG425/($AG424-$AG439)</f>
        <v>0</v>
      </c>
      <c r="N424" s="651"/>
      <c r="O424" s="651"/>
      <c r="P424" s="651">
        <f t="shared" ref="P424:AC424" si="569">P425*$AG425/($AG424-$AG439)</f>
        <v>-1.35</v>
      </c>
      <c r="Q424" s="651">
        <f t="shared" si="569"/>
        <v>0</v>
      </c>
      <c r="R424" s="651">
        <f t="shared" si="569"/>
        <v>0</v>
      </c>
      <c r="S424" s="651">
        <f t="shared" si="569"/>
        <v>0</v>
      </c>
      <c r="T424" s="651">
        <f t="shared" si="569"/>
        <v>-0.71223021582733803</v>
      </c>
      <c r="U424" s="651">
        <f t="shared" si="569"/>
        <v>0</v>
      </c>
      <c r="V424" s="651">
        <f t="shared" si="569"/>
        <v>-0.25</v>
      </c>
      <c r="W424" s="651">
        <f t="shared" si="569"/>
        <v>-0.2503597122302158</v>
      </c>
      <c r="X424" s="651">
        <f t="shared" si="569"/>
        <v>0</v>
      </c>
      <c r="Y424" s="651">
        <f t="shared" si="569"/>
        <v>-1.2517985611510791</v>
      </c>
      <c r="Z424" s="651">
        <f t="shared" si="569"/>
        <v>-1.1241007194244604E-2</v>
      </c>
      <c r="AA424" s="651">
        <f t="shared" si="569"/>
        <v>-8.9928057553956831E-2</v>
      </c>
      <c r="AB424" s="651">
        <f t="shared" si="569"/>
        <v>0</v>
      </c>
      <c r="AC424" s="652">
        <f t="shared" si="569"/>
        <v>-15.107913669064747</v>
      </c>
      <c r="AD424" s="752"/>
      <c r="AE424" s="752">
        <f>SUM(AE425:AE438)</f>
        <v>-27.423471223021579</v>
      </c>
      <c r="AF424" s="790">
        <f>-SUM(AG425:AG438)/('Procesy - AS IS'!AG103+SUM(AG425:AG438))</f>
        <v>-0.27193112304043088</v>
      </c>
      <c r="AG424" s="801">
        <f>SUM(AG425:AG438)</f>
        <v>103.83200628068846</v>
      </c>
      <c r="AH424" s="931">
        <f>SUM(AH425:AH438)</f>
        <v>36.976146121540125</v>
      </c>
      <c r="AI424" s="730">
        <f>SUM(AI425:AI438)</f>
        <v>21.662792677265941</v>
      </c>
      <c r="AJ424" s="738">
        <f>SUM(AJ425:AJ438)</f>
        <v>9.3374106367525584</v>
      </c>
      <c r="AL424" s="232"/>
      <c r="AM424"/>
      <c r="AZ424" s="227"/>
    </row>
    <row r="425" spans="1:52" ht="45" x14ac:dyDescent="0.25">
      <c r="A425" s="159">
        <f ca="1">OFFSET(A425,-16,0)+1</f>
        <v>30</v>
      </c>
      <c r="B425" s="668" t="str">
        <f ca="1">'Procesy - AS IS'!B104</f>
        <v>Meranie č. 30</v>
      </c>
      <c r="C425" s="671" t="str">
        <f>'Procesy - AS IS'!C104</f>
        <v>Slovnaft, LDPE4 - Nová výrobnňa polyetylénu, 2370-13658/37/2013/Tot,Heg/370190306</v>
      </c>
      <c r="D425" s="726">
        <f>-'Procesy - AS IS'!D106*D438</f>
        <v>0</v>
      </c>
      <c r="E425" s="653">
        <f>-'Procesy - AS IS'!E106*E438</f>
        <v>0</v>
      </c>
      <c r="F425" s="653">
        <f>-'Procesy - AS IS'!F106*F438</f>
        <v>0</v>
      </c>
      <c r="G425" s="653">
        <f>-'Procesy - AS IS'!G106*G438</f>
        <v>-8.4</v>
      </c>
      <c r="H425" s="653" t="s">
        <v>555</v>
      </c>
      <c r="I425" s="653" t="s">
        <v>555</v>
      </c>
      <c r="J425" s="653" t="s">
        <v>555</v>
      </c>
      <c r="K425" s="653" t="s">
        <v>555</v>
      </c>
      <c r="L425" s="653" t="s">
        <v>555</v>
      </c>
      <c r="M425" s="653">
        <f>-'Procesy - AS IS'!M106*M438</f>
        <v>0</v>
      </c>
      <c r="N425" s="653" t="s">
        <v>555</v>
      </c>
      <c r="O425" s="653" t="s">
        <v>559</v>
      </c>
      <c r="P425" s="653">
        <f>-'Procesy - AS IS'!P106*P438</f>
        <v>-1.35</v>
      </c>
      <c r="Q425" s="653">
        <f>-'Procesy - AS IS'!Q106*Q438</f>
        <v>0</v>
      </c>
      <c r="R425" s="653">
        <f>-'Procesy - AS IS'!R106*R438</f>
        <v>0</v>
      </c>
      <c r="S425" s="653">
        <f>-'Procesy - AS IS'!S106*S438</f>
        <v>0</v>
      </c>
      <c r="T425" s="653">
        <f>-'Procesy - AS IS'!T106*T438</f>
        <v>-0.71223021582733814</v>
      </c>
      <c r="U425" s="653">
        <f>-'Procesy - AS IS'!U106*U438</f>
        <v>0</v>
      </c>
      <c r="V425" s="653">
        <f>-'Procesy - AS IS'!V106*V438</f>
        <v>-0.25</v>
      </c>
      <c r="W425" s="653">
        <f>-'Procesy - AS IS'!W106*W438</f>
        <v>-0.2503597122302158</v>
      </c>
      <c r="X425" s="653">
        <f>-'Procesy - AS IS'!X106*X438</f>
        <v>0</v>
      </c>
      <c r="Y425" s="653">
        <f>-'Procesy - AS IS'!Y106*Y438</f>
        <v>-1.2517985611510791</v>
      </c>
      <c r="Z425" s="653">
        <f>-'Procesy - AS IS'!Z106*Z438</f>
        <v>-1.1241007194244604E-2</v>
      </c>
      <c r="AA425" s="653">
        <f>-'Procesy - AS IS'!AA106*AA438</f>
        <v>-8.9928057553956831E-2</v>
      </c>
      <c r="AB425" s="653">
        <f>-'Procesy - AS IS'!AB106*AB438</f>
        <v>0</v>
      </c>
      <c r="AC425" s="653">
        <f>-'Procesy - AS IS'!AC106*AC438</f>
        <v>-15.107913669064747</v>
      </c>
      <c r="AD425" s="754"/>
      <c r="AE425" s="754">
        <f>SUM(D425:AC425)</f>
        <v>-27.423471223021579</v>
      </c>
      <c r="AF425" s="728">
        <f>AE425/'Procesy - AS IS'!AD106</f>
        <v>-0.27193112304043088</v>
      </c>
      <c r="AG425" s="797">
        <f>'Procesy - AS IS'!AG106/(1+$AF425)-'Procesy - AS IS'!AG106</f>
        <v>103.83200628068846</v>
      </c>
      <c r="AH425" s="927">
        <f>'Procesy - AS IS'!AH106/(1+$AF425)-'Procesy - AS IS'!AH106</f>
        <v>36.976146121540125</v>
      </c>
      <c r="AI425" s="730">
        <f>'Procesy - AS IS'!AI106/(1+$AF425)-'Procesy - AS IS'!AI106</f>
        <v>21.662792677265941</v>
      </c>
      <c r="AJ425" s="731">
        <f>'Procesy - AS IS'!AJ106/(1+$AF425)-'Procesy - AS IS'!AJ106</f>
        <v>9.3374106367525584</v>
      </c>
      <c r="AL425" s="232"/>
      <c r="AZ425" s="227"/>
    </row>
    <row r="426" spans="1:52" hidden="1" outlineLevel="1" x14ac:dyDescent="0.25">
      <c r="A426" s="159"/>
      <c r="B426" s="1358" t="s">
        <v>528</v>
      </c>
      <c r="C426" s="667" t="str">
        <f>'Optimalizačné opatrenia'!$B$2</f>
        <v>Modernizácia</v>
      </c>
      <c r="D426" s="673" t="s">
        <v>530</v>
      </c>
      <c r="E426" s="773" t="s">
        <v>530</v>
      </c>
      <c r="F426" s="703" t="str">
        <f t="shared" ref="F426:F438" si="570">F124</f>
        <v>N</v>
      </c>
      <c r="G426" s="703" t="str">
        <f t="shared" ref="G426:G438" si="571">G80</f>
        <v>A</v>
      </c>
      <c r="H426" s="703"/>
      <c r="I426" s="703"/>
      <c r="J426" s="703"/>
      <c r="K426" s="703"/>
      <c r="L426" s="703"/>
      <c r="M426" s="703" t="s">
        <v>530</v>
      </c>
      <c r="N426" s="703"/>
      <c r="O426" s="703"/>
      <c r="P426" s="703" t="str">
        <f t="shared" ref="P426:P438" si="572">P280</f>
        <v>A</v>
      </c>
      <c r="Q426" s="703" t="str">
        <f t="shared" ref="Q426:Q438" si="573">G426</f>
        <v>A</v>
      </c>
      <c r="R426" s="703" t="str">
        <f t="shared" ref="R426:R438" si="574">R38</f>
        <v>A</v>
      </c>
      <c r="S426" s="703" t="str">
        <f t="shared" ref="S426:S438" si="575">R426</f>
        <v>A</v>
      </c>
      <c r="T426" s="703" t="str">
        <f t="shared" ref="T426:T438" si="576">R426</f>
        <v>A</v>
      </c>
      <c r="U426" s="703" t="str">
        <f t="shared" ref="U426:U438" si="577">G426</f>
        <v>A</v>
      </c>
      <c r="V426" s="703" t="str">
        <f t="shared" ref="V426:W438" si="578">V10</f>
        <v>A</v>
      </c>
      <c r="W426" s="703" t="str">
        <f t="shared" si="578"/>
        <v>A</v>
      </c>
      <c r="X426" s="703" t="str">
        <f t="shared" ref="X426:X438" si="579">G426</f>
        <v>A</v>
      </c>
      <c r="Y426" s="703" t="str">
        <f t="shared" ref="Y426:Y438" si="580">R426</f>
        <v>A</v>
      </c>
      <c r="Z426" s="703" t="str">
        <f t="shared" ref="Z426:Z438" si="581">R426</f>
        <v>A</v>
      </c>
      <c r="AA426" s="703" t="str">
        <f t="shared" ref="AA426:AA438" si="582">$V426</f>
        <v>A</v>
      </c>
      <c r="AB426" s="703" t="str">
        <f t="shared" ref="AB426:AB438" si="583">G426</f>
        <v>A</v>
      </c>
      <c r="AC426" s="703" t="str">
        <f t="shared" ref="AC426:AC438" si="584">R426</f>
        <v>A</v>
      </c>
      <c r="AD426" s="804"/>
      <c r="AE426" s="804"/>
      <c r="AF426" s="791"/>
      <c r="AG426" s="798"/>
      <c r="AH426" s="928"/>
      <c r="AI426" s="732"/>
      <c r="AJ426" s="733"/>
    </row>
    <row r="427" spans="1:52" hidden="1" outlineLevel="1" x14ac:dyDescent="0.25">
      <c r="A427" s="159"/>
      <c r="B427" s="1359"/>
      <c r="C427" s="667" t="str">
        <f>'Optimalizačné opatrenia'!$B$3</f>
        <v>Sfunkčnenie</v>
      </c>
      <c r="D427" s="718" t="s">
        <v>530</v>
      </c>
      <c r="E427" s="773" t="s">
        <v>530</v>
      </c>
      <c r="F427" s="703" t="str">
        <f t="shared" si="570"/>
        <v>N</v>
      </c>
      <c r="G427" s="703" t="str">
        <f t="shared" si="571"/>
        <v>N</v>
      </c>
      <c r="H427" s="703"/>
      <c r="I427" s="703"/>
      <c r="J427" s="703"/>
      <c r="K427" s="703"/>
      <c r="L427" s="703"/>
      <c r="M427" s="703" t="s">
        <v>530</v>
      </c>
      <c r="N427" s="703"/>
      <c r="O427" s="703"/>
      <c r="P427" s="703" t="str">
        <f t="shared" si="572"/>
        <v>N</v>
      </c>
      <c r="Q427" s="703" t="str">
        <f t="shared" si="573"/>
        <v>N</v>
      </c>
      <c r="R427" s="703" t="str">
        <f t="shared" si="574"/>
        <v>N</v>
      </c>
      <c r="S427" s="703" t="str">
        <f t="shared" si="575"/>
        <v>N</v>
      </c>
      <c r="T427" s="703" t="str">
        <f t="shared" si="576"/>
        <v>N</v>
      </c>
      <c r="U427" s="703" t="str">
        <f t="shared" si="577"/>
        <v>N</v>
      </c>
      <c r="V427" s="703" t="str">
        <f t="shared" si="578"/>
        <v>N</v>
      </c>
      <c r="W427" s="703" t="str">
        <f t="shared" si="578"/>
        <v>N</v>
      </c>
      <c r="X427" s="703" t="str">
        <f t="shared" si="579"/>
        <v>N</v>
      </c>
      <c r="Y427" s="703" t="str">
        <f t="shared" si="580"/>
        <v>N</v>
      </c>
      <c r="Z427" s="703" t="str">
        <f t="shared" si="581"/>
        <v>N</v>
      </c>
      <c r="AA427" s="703" t="str">
        <f t="shared" si="582"/>
        <v>N</v>
      </c>
      <c r="AB427" s="703" t="str">
        <f t="shared" si="583"/>
        <v>N</v>
      </c>
      <c r="AC427" s="703" t="str">
        <f t="shared" si="584"/>
        <v>N</v>
      </c>
      <c r="AD427" s="804"/>
      <c r="AE427" s="804"/>
      <c r="AF427" s="791"/>
      <c r="AG427" s="798"/>
      <c r="AH427" s="928"/>
      <c r="AI427" s="732"/>
      <c r="AJ427" s="733"/>
    </row>
    <row r="428" spans="1:52" hidden="1" outlineLevel="1" x14ac:dyDescent="0.25">
      <c r="A428" s="159"/>
      <c r="B428" s="1359"/>
      <c r="C428" s="667" t="str">
        <f>'Optimalizačné opatrenia'!$B$4</f>
        <v>Zjednotenie</v>
      </c>
      <c r="D428" s="718" t="s">
        <v>530</v>
      </c>
      <c r="E428" s="773" t="s">
        <v>530</v>
      </c>
      <c r="F428" s="703" t="str">
        <f t="shared" si="570"/>
        <v>N</v>
      </c>
      <c r="G428" s="703" t="str">
        <f t="shared" si="571"/>
        <v>A</v>
      </c>
      <c r="H428" s="703"/>
      <c r="I428" s="703"/>
      <c r="J428" s="703"/>
      <c r="K428" s="703"/>
      <c r="L428" s="703"/>
      <c r="M428" s="703" t="s">
        <v>530</v>
      </c>
      <c r="N428" s="703"/>
      <c r="O428" s="703"/>
      <c r="P428" s="703" t="str">
        <f t="shared" si="572"/>
        <v>A</v>
      </c>
      <c r="Q428" s="703" t="str">
        <f t="shared" si="573"/>
        <v>A</v>
      </c>
      <c r="R428" s="703" t="str">
        <f t="shared" si="574"/>
        <v>A</v>
      </c>
      <c r="S428" s="703" t="str">
        <f t="shared" si="575"/>
        <v>A</v>
      </c>
      <c r="T428" s="703" t="str">
        <f t="shared" si="576"/>
        <v>A</v>
      </c>
      <c r="U428" s="703" t="str">
        <f t="shared" si="577"/>
        <v>A</v>
      </c>
      <c r="V428" s="703" t="str">
        <f t="shared" si="578"/>
        <v>A</v>
      </c>
      <c r="W428" s="703" t="str">
        <f t="shared" si="578"/>
        <v>A</v>
      </c>
      <c r="X428" s="703" t="str">
        <f t="shared" si="579"/>
        <v>A</v>
      </c>
      <c r="Y428" s="703" t="str">
        <f t="shared" si="580"/>
        <v>A</v>
      </c>
      <c r="Z428" s="703" t="str">
        <f t="shared" si="581"/>
        <v>A</v>
      </c>
      <c r="AA428" s="703" t="str">
        <f t="shared" si="582"/>
        <v>A</v>
      </c>
      <c r="AB428" s="703" t="str">
        <f t="shared" si="583"/>
        <v>A</v>
      </c>
      <c r="AC428" s="703" t="str">
        <f t="shared" si="584"/>
        <v>A</v>
      </c>
      <c r="AD428" s="804"/>
      <c r="AE428" s="804"/>
      <c r="AF428" s="791"/>
      <c r="AG428" s="798"/>
      <c r="AH428" s="928"/>
      <c r="AI428" s="732"/>
      <c r="AJ428" s="733"/>
    </row>
    <row r="429" spans="1:52" hidden="1" outlineLevel="1" x14ac:dyDescent="0.25">
      <c r="A429" s="159"/>
      <c r="B429" s="1359"/>
      <c r="C429" s="667" t="str">
        <f>'Optimalizačné opatrenia'!$B$5</f>
        <v>Centralizácia</v>
      </c>
      <c r="D429" s="718" t="s">
        <v>530</v>
      </c>
      <c r="E429" s="773" t="s">
        <v>530</v>
      </c>
      <c r="F429" s="703" t="str">
        <f t="shared" si="570"/>
        <v>N</v>
      </c>
      <c r="G429" s="703" t="str">
        <f t="shared" si="571"/>
        <v>A</v>
      </c>
      <c r="H429" s="703"/>
      <c r="I429" s="703"/>
      <c r="J429" s="703"/>
      <c r="K429" s="703"/>
      <c r="L429" s="703"/>
      <c r="M429" s="703" t="s">
        <v>530</v>
      </c>
      <c r="N429" s="703"/>
      <c r="O429" s="703"/>
      <c r="P429" s="703" t="str">
        <f t="shared" si="572"/>
        <v>A</v>
      </c>
      <c r="Q429" s="703" t="str">
        <f t="shared" si="573"/>
        <v>A</v>
      </c>
      <c r="R429" s="703" t="str">
        <f t="shared" si="574"/>
        <v>A</v>
      </c>
      <c r="S429" s="703" t="str">
        <f t="shared" si="575"/>
        <v>A</v>
      </c>
      <c r="T429" s="703" t="str">
        <f t="shared" si="576"/>
        <v>A</v>
      </c>
      <c r="U429" s="703" t="str">
        <f t="shared" si="577"/>
        <v>A</v>
      </c>
      <c r="V429" s="703" t="str">
        <f t="shared" si="578"/>
        <v>A</v>
      </c>
      <c r="W429" s="703" t="str">
        <f t="shared" si="578"/>
        <v>A</v>
      </c>
      <c r="X429" s="703" t="str">
        <f t="shared" si="579"/>
        <v>A</v>
      </c>
      <c r="Y429" s="703" t="str">
        <f t="shared" si="580"/>
        <v>A</v>
      </c>
      <c r="Z429" s="703" t="str">
        <f t="shared" si="581"/>
        <v>A</v>
      </c>
      <c r="AA429" s="703" t="str">
        <f t="shared" si="582"/>
        <v>A</v>
      </c>
      <c r="AB429" s="703" t="str">
        <f t="shared" si="583"/>
        <v>A</v>
      </c>
      <c r="AC429" s="703" t="str">
        <f t="shared" si="584"/>
        <v>A</v>
      </c>
      <c r="AD429" s="804"/>
      <c r="AE429" s="804"/>
      <c r="AF429" s="791"/>
      <c r="AG429" s="798"/>
      <c r="AH429" s="928"/>
      <c r="AI429" s="732"/>
      <c r="AJ429" s="733"/>
    </row>
    <row r="430" spans="1:52" hidden="1" outlineLevel="1" x14ac:dyDescent="0.25">
      <c r="A430" s="159"/>
      <c r="B430" s="1359"/>
      <c r="C430" s="667" t="str">
        <f>'Optimalizačné opatrenia'!$B$6</f>
        <v>Elektronizácia</v>
      </c>
      <c r="D430" s="718" t="s">
        <v>530</v>
      </c>
      <c r="E430" s="773" t="s">
        <v>530</v>
      </c>
      <c r="F430" s="703" t="str">
        <f t="shared" si="570"/>
        <v>N</v>
      </c>
      <c r="G430" s="703" t="str">
        <f t="shared" si="571"/>
        <v>A</v>
      </c>
      <c r="H430" s="703"/>
      <c r="I430" s="703"/>
      <c r="J430" s="703"/>
      <c r="K430" s="703"/>
      <c r="L430" s="703"/>
      <c r="M430" s="703" t="s">
        <v>530</v>
      </c>
      <c r="N430" s="703"/>
      <c r="O430" s="703"/>
      <c r="P430" s="703" t="str">
        <f t="shared" si="572"/>
        <v>A</v>
      </c>
      <c r="Q430" s="703" t="str">
        <f t="shared" si="573"/>
        <v>A</v>
      </c>
      <c r="R430" s="703" t="str">
        <f t="shared" si="574"/>
        <v>A</v>
      </c>
      <c r="S430" s="703" t="str">
        <f t="shared" si="575"/>
        <v>A</v>
      </c>
      <c r="T430" s="703" t="str">
        <f t="shared" si="576"/>
        <v>A</v>
      </c>
      <c r="U430" s="703" t="str">
        <f t="shared" si="577"/>
        <v>A</v>
      </c>
      <c r="V430" s="703" t="str">
        <f t="shared" si="578"/>
        <v>A</v>
      </c>
      <c r="W430" s="703" t="str">
        <f t="shared" si="578"/>
        <v>A</v>
      </c>
      <c r="X430" s="703" t="str">
        <f t="shared" si="579"/>
        <v>A</v>
      </c>
      <c r="Y430" s="703" t="str">
        <f t="shared" si="580"/>
        <v>A</v>
      </c>
      <c r="Z430" s="703" t="str">
        <f t="shared" si="581"/>
        <v>A</v>
      </c>
      <c r="AA430" s="703" t="str">
        <f t="shared" si="582"/>
        <v>A</v>
      </c>
      <c r="AB430" s="703" t="str">
        <f t="shared" si="583"/>
        <v>A</v>
      </c>
      <c r="AC430" s="703" t="str">
        <f t="shared" si="584"/>
        <v>A</v>
      </c>
      <c r="AD430" s="804"/>
      <c r="AE430" s="804"/>
      <c r="AF430" s="791"/>
      <c r="AG430" s="798"/>
      <c r="AH430" s="928"/>
      <c r="AI430" s="732"/>
      <c r="AJ430" s="733"/>
    </row>
    <row r="431" spans="1:52" hidden="1" outlineLevel="1" x14ac:dyDescent="0.25">
      <c r="A431" s="159"/>
      <c r="B431" s="1359"/>
      <c r="C431" s="667" t="str">
        <f>'Optimalizačné opatrenia'!$B$7</f>
        <v>Automatizácia</v>
      </c>
      <c r="D431" s="718" t="s">
        <v>530</v>
      </c>
      <c r="E431" s="773" t="s">
        <v>530</v>
      </c>
      <c r="F431" s="703" t="str">
        <f t="shared" si="570"/>
        <v>N</v>
      </c>
      <c r="G431" s="703" t="str">
        <f t="shared" si="571"/>
        <v>A</v>
      </c>
      <c r="H431" s="703"/>
      <c r="I431" s="703"/>
      <c r="J431" s="703"/>
      <c r="K431" s="703"/>
      <c r="L431" s="703"/>
      <c r="M431" s="703" t="s">
        <v>530</v>
      </c>
      <c r="N431" s="703"/>
      <c r="O431" s="703"/>
      <c r="P431" s="703" t="str">
        <f t="shared" si="572"/>
        <v>A</v>
      </c>
      <c r="Q431" s="703" t="str">
        <f t="shared" si="573"/>
        <v>A</v>
      </c>
      <c r="R431" s="703" t="str">
        <f t="shared" si="574"/>
        <v>A</v>
      </c>
      <c r="S431" s="703" t="str">
        <f t="shared" si="575"/>
        <v>A</v>
      </c>
      <c r="T431" s="703" t="str">
        <f t="shared" si="576"/>
        <v>A</v>
      </c>
      <c r="U431" s="703" t="str">
        <f t="shared" si="577"/>
        <v>A</v>
      </c>
      <c r="V431" s="703" t="str">
        <f t="shared" si="578"/>
        <v>A</v>
      </c>
      <c r="W431" s="703" t="str">
        <f t="shared" si="578"/>
        <v>A</v>
      </c>
      <c r="X431" s="703" t="str">
        <f t="shared" si="579"/>
        <v>A</v>
      </c>
      <c r="Y431" s="703" t="str">
        <f t="shared" si="580"/>
        <v>A</v>
      </c>
      <c r="Z431" s="703" t="str">
        <f t="shared" si="581"/>
        <v>A</v>
      </c>
      <c r="AA431" s="703" t="str">
        <f t="shared" si="582"/>
        <v>A</v>
      </c>
      <c r="AB431" s="703" t="str">
        <f t="shared" si="583"/>
        <v>A</v>
      </c>
      <c r="AC431" s="703" t="str">
        <f t="shared" si="584"/>
        <v>A</v>
      </c>
      <c r="AD431" s="804"/>
      <c r="AE431" s="804"/>
      <c r="AF431" s="791"/>
      <c r="AG431" s="798"/>
      <c r="AH431" s="928"/>
      <c r="AI431" s="732"/>
      <c r="AJ431" s="733"/>
    </row>
    <row r="432" spans="1:52" hidden="1" outlineLevel="1" x14ac:dyDescent="0.25">
      <c r="A432" s="159"/>
      <c r="B432" s="1359"/>
      <c r="C432" s="667" t="str">
        <f>'Optimalizačné opatrenia'!$B$8</f>
        <v>Bezpečnosť</v>
      </c>
      <c r="D432" s="718" t="s">
        <v>530</v>
      </c>
      <c r="E432" s="773" t="s">
        <v>530</v>
      </c>
      <c r="F432" s="703" t="str">
        <f t="shared" si="570"/>
        <v>N</v>
      </c>
      <c r="G432" s="703" t="str">
        <f t="shared" si="571"/>
        <v>A</v>
      </c>
      <c r="H432" s="703"/>
      <c r="I432" s="703"/>
      <c r="J432" s="703"/>
      <c r="K432" s="703"/>
      <c r="L432" s="703"/>
      <c r="M432" s="703" t="s">
        <v>530</v>
      </c>
      <c r="N432" s="703"/>
      <c r="O432" s="703"/>
      <c r="P432" s="703" t="str">
        <f t="shared" si="572"/>
        <v>A</v>
      </c>
      <c r="Q432" s="703" t="str">
        <f t="shared" si="573"/>
        <v>A</v>
      </c>
      <c r="R432" s="703" t="str">
        <f t="shared" si="574"/>
        <v>A</v>
      </c>
      <c r="S432" s="703" t="str">
        <f t="shared" si="575"/>
        <v>A</v>
      </c>
      <c r="T432" s="703" t="str">
        <f t="shared" si="576"/>
        <v>A</v>
      </c>
      <c r="U432" s="703" t="str">
        <f t="shared" si="577"/>
        <v>A</v>
      </c>
      <c r="V432" s="703" t="str">
        <f t="shared" si="578"/>
        <v>A</v>
      </c>
      <c r="W432" s="703" t="str">
        <f t="shared" si="578"/>
        <v>A</v>
      </c>
      <c r="X432" s="703" t="str">
        <f t="shared" si="579"/>
        <v>A</v>
      </c>
      <c r="Y432" s="703" t="str">
        <f t="shared" si="580"/>
        <v>A</v>
      </c>
      <c r="Z432" s="703" t="str">
        <f t="shared" si="581"/>
        <v>A</v>
      </c>
      <c r="AA432" s="703" t="str">
        <f t="shared" si="582"/>
        <v>A</v>
      </c>
      <c r="AB432" s="703" t="str">
        <f t="shared" si="583"/>
        <v>A</v>
      </c>
      <c r="AC432" s="703" t="str">
        <f t="shared" si="584"/>
        <v>A</v>
      </c>
      <c r="AD432" s="804"/>
      <c r="AE432" s="804"/>
      <c r="AF432" s="791"/>
      <c r="AG432" s="798"/>
      <c r="AH432" s="928"/>
      <c r="AI432" s="732"/>
      <c r="AJ432" s="733"/>
    </row>
    <row r="433" spans="1:51" hidden="1" outlineLevel="1" x14ac:dyDescent="0.25">
      <c r="A433" s="159"/>
      <c r="B433" s="1359"/>
      <c r="C433" s="667" t="str">
        <f>'Optimalizačné opatrenia'!$B$9</f>
        <v>Auditovateľnosť</v>
      </c>
      <c r="D433" s="718" t="s">
        <v>530</v>
      </c>
      <c r="E433" s="773" t="s">
        <v>530</v>
      </c>
      <c r="F433" s="703" t="str">
        <f t="shared" si="570"/>
        <v>N</v>
      </c>
      <c r="G433" s="703" t="str">
        <f t="shared" si="571"/>
        <v>A</v>
      </c>
      <c r="H433" s="703"/>
      <c r="I433" s="703"/>
      <c r="J433" s="703"/>
      <c r="K433" s="703"/>
      <c r="L433" s="703"/>
      <c r="M433" s="703" t="s">
        <v>530</v>
      </c>
      <c r="N433" s="703"/>
      <c r="O433" s="703"/>
      <c r="P433" s="703" t="str">
        <f t="shared" si="572"/>
        <v>A</v>
      </c>
      <c r="Q433" s="703" t="str">
        <f t="shared" si="573"/>
        <v>A</v>
      </c>
      <c r="R433" s="703" t="str">
        <f t="shared" si="574"/>
        <v>N</v>
      </c>
      <c r="S433" s="703" t="str">
        <f t="shared" si="575"/>
        <v>N</v>
      </c>
      <c r="T433" s="703" t="str">
        <f t="shared" si="576"/>
        <v>N</v>
      </c>
      <c r="U433" s="703" t="str">
        <f t="shared" si="577"/>
        <v>A</v>
      </c>
      <c r="V433" s="703" t="str">
        <f t="shared" si="578"/>
        <v>A</v>
      </c>
      <c r="W433" s="703" t="str">
        <f t="shared" si="578"/>
        <v>A</v>
      </c>
      <c r="X433" s="703" t="str">
        <f t="shared" si="579"/>
        <v>A</v>
      </c>
      <c r="Y433" s="703" t="str">
        <f t="shared" si="580"/>
        <v>N</v>
      </c>
      <c r="Z433" s="703" t="str">
        <f t="shared" si="581"/>
        <v>N</v>
      </c>
      <c r="AA433" s="703" t="str">
        <f t="shared" si="582"/>
        <v>A</v>
      </c>
      <c r="AB433" s="703" t="str">
        <f t="shared" si="583"/>
        <v>A</v>
      </c>
      <c r="AC433" s="703" t="str">
        <f t="shared" si="584"/>
        <v>N</v>
      </c>
      <c r="AD433" s="804"/>
      <c r="AE433" s="804"/>
      <c r="AF433" s="791"/>
      <c r="AG433" s="798"/>
      <c r="AH433" s="928"/>
      <c r="AI433" s="732"/>
      <c r="AJ433" s="733"/>
    </row>
    <row r="434" spans="1:51" hidden="1" outlineLevel="1" x14ac:dyDescent="0.25">
      <c r="A434" s="159"/>
      <c r="B434" s="1359"/>
      <c r="C434" s="667" t="str">
        <f>'Optimalizačné opatrenia'!$B$10</f>
        <v>Transparentnosť</v>
      </c>
      <c r="D434" s="718" t="s">
        <v>530</v>
      </c>
      <c r="E434" s="773" t="s">
        <v>530</v>
      </c>
      <c r="F434" s="703" t="str">
        <f t="shared" si="570"/>
        <v>N</v>
      </c>
      <c r="G434" s="703" t="str">
        <f t="shared" si="571"/>
        <v>N</v>
      </c>
      <c r="H434" s="703"/>
      <c r="I434" s="703"/>
      <c r="J434" s="703"/>
      <c r="K434" s="703"/>
      <c r="L434" s="703"/>
      <c r="M434" s="703" t="s">
        <v>530</v>
      </c>
      <c r="N434" s="703"/>
      <c r="O434" s="703"/>
      <c r="P434" s="703" t="str">
        <f t="shared" si="572"/>
        <v>A</v>
      </c>
      <c r="Q434" s="703" t="str">
        <f t="shared" si="573"/>
        <v>N</v>
      </c>
      <c r="R434" s="703" t="str">
        <f t="shared" si="574"/>
        <v>N</v>
      </c>
      <c r="S434" s="703" t="str">
        <f t="shared" si="575"/>
        <v>N</v>
      </c>
      <c r="T434" s="703" t="str">
        <f t="shared" si="576"/>
        <v>N</v>
      </c>
      <c r="U434" s="703" t="str">
        <f t="shared" si="577"/>
        <v>N</v>
      </c>
      <c r="V434" s="703" t="str">
        <f t="shared" si="578"/>
        <v>A</v>
      </c>
      <c r="W434" s="703" t="str">
        <f t="shared" si="578"/>
        <v>N</v>
      </c>
      <c r="X434" s="703" t="str">
        <f t="shared" si="579"/>
        <v>N</v>
      </c>
      <c r="Y434" s="703" t="str">
        <f t="shared" si="580"/>
        <v>N</v>
      </c>
      <c r="Z434" s="703" t="str">
        <f t="shared" si="581"/>
        <v>N</v>
      </c>
      <c r="AA434" s="703" t="str">
        <f t="shared" si="582"/>
        <v>A</v>
      </c>
      <c r="AB434" s="703" t="str">
        <f t="shared" si="583"/>
        <v>N</v>
      </c>
      <c r="AC434" s="703" t="str">
        <f t="shared" si="584"/>
        <v>N</v>
      </c>
      <c r="AD434" s="804"/>
      <c r="AE434" s="804"/>
      <c r="AF434" s="791"/>
      <c r="AG434" s="798"/>
      <c r="AH434" s="928"/>
      <c r="AI434" s="732"/>
      <c r="AJ434" s="733"/>
    </row>
    <row r="435" spans="1:51" hidden="1" outlineLevel="1" x14ac:dyDescent="0.25">
      <c r="A435" s="159"/>
      <c r="B435" s="1359"/>
      <c r="C435" s="667" t="str">
        <f>'Optimalizačné opatrenia'!$B$11</f>
        <v>Analyzovatelnosť</v>
      </c>
      <c r="D435" s="718" t="s">
        <v>530</v>
      </c>
      <c r="E435" s="773" t="s">
        <v>530</v>
      </c>
      <c r="F435" s="703" t="str">
        <f t="shared" si="570"/>
        <v>N</v>
      </c>
      <c r="G435" s="703" t="str">
        <f t="shared" si="571"/>
        <v>A</v>
      </c>
      <c r="H435" s="703"/>
      <c r="I435" s="703"/>
      <c r="J435" s="703"/>
      <c r="K435" s="703"/>
      <c r="L435" s="703"/>
      <c r="M435" s="703" t="s">
        <v>530</v>
      </c>
      <c r="N435" s="703"/>
      <c r="O435" s="703"/>
      <c r="P435" s="703" t="str">
        <f t="shared" si="572"/>
        <v>A</v>
      </c>
      <c r="Q435" s="703" t="str">
        <f t="shared" si="573"/>
        <v>A</v>
      </c>
      <c r="R435" s="703" t="str">
        <f t="shared" si="574"/>
        <v>N</v>
      </c>
      <c r="S435" s="703" t="str">
        <f t="shared" si="575"/>
        <v>N</v>
      </c>
      <c r="T435" s="703" t="str">
        <f t="shared" si="576"/>
        <v>N</v>
      </c>
      <c r="U435" s="703" t="str">
        <f t="shared" si="577"/>
        <v>A</v>
      </c>
      <c r="V435" s="703" t="str">
        <f t="shared" si="578"/>
        <v>A</v>
      </c>
      <c r="W435" s="703" t="str">
        <f t="shared" si="578"/>
        <v>A</v>
      </c>
      <c r="X435" s="703" t="str">
        <f t="shared" si="579"/>
        <v>A</v>
      </c>
      <c r="Y435" s="703" t="str">
        <f t="shared" si="580"/>
        <v>N</v>
      </c>
      <c r="Z435" s="703" t="str">
        <f t="shared" si="581"/>
        <v>N</v>
      </c>
      <c r="AA435" s="703" t="str">
        <f t="shared" si="582"/>
        <v>A</v>
      </c>
      <c r="AB435" s="703" t="str">
        <f t="shared" si="583"/>
        <v>A</v>
      </c>
      <c r="AC435" s="703" t="str">
        <f t="shared" si="584"/>
        <v>N</v>
      </c>
      <c r="AD435" s="804"/>
      <c r="AE435" s="804"/>
      <c r="AF435" s="791"/>
      <c r="AG435" s="798"/>
      <c r="AH435" s="928"/>
      <c r="AI435" s="732"/>
      <c r="AJ435" s="733"/>
    </row>
    <row r="436" spans="1:51" hidden="1" outlineLevel="1" x14ac:dyDescent="0.25">
      <c r="A436" s="159"/>
      <c r="B436" s="1359"/>
      <c r="C436" s="667" t="str">
        <f>'Optimalizačné opatrenia'!$B$12</f>
        <v>Integrácia</v>
      </c>
      <c r="D436" s="718" t="s">
        <v>530</v>
      </c>
      <c r="E436" s="773" t="s">
        <v>530</v>
      </c>
      <c r="F436" s="703" t="str">
        <f t="shared" si="570"/>
        <v>N</v>
      </c>
      <c r="G436" s="703" t="str">
        <f t="shared" si="571"/>
        <v>A</v>
      </c>
      <c r="H436" s="703"/>
      <c r="I436" s="703"/>
      <c r="J436" s="703"/>
      <c r="K436" s="703"/>
      <c r="L436" s="703"/>
      <c r="M436" s="703" t="s">
        <v>530</v>
      </c>
      <c r="N436" s="703"/>
      <c r="O436" s="703"/>
      <c r="P436" s="703" t="str">
        <f t="shared" si="572"/>
        <v>A</v>
      </c>
      <c r="Q436" s="703" t="str">
        <f t="shared" si="573"/>
        <v>A</v>
      </c>
      <c r="R436" s="703" t="str">
        <f t="shared" si="574"/>
        <v>A</v>
      </c>
      <c r="S436" s="703" t="str">
        <f t="shared" si="575"/>
        <v>A</v>
      </c>
      <c r="T436" s="703" t="str">
        <f t="shared" si="576"/>
        <v>A</v>
      </c>
      <c r="U436" s="703" t="str">
        <f t="shared" si="577"/>
        <v>A</v>
      </c>
      <c r="V436" s="703" t="str">
        <f t="shared" si="578"/>
        <v>A</v>
      </c>
      <c r="W436" s="703" t="str">
        <f t="shared" si="578"/>
        <v>A</v>
      </c>
      <c r="X436" s="703" t="str">
        <f t="shared" si="579"/>
        <v>A</v>
      </c>
      <c r="Y436" s="703" t="str">
        <f t="shared" si="580"/>
        <v>A</v>
      </c>
      <c r="Z436" s="703" t="str">
        <f t="shared" si="581"/>
        <v>A</v>
      </c>
      <c r="AA436" s="703" t="str">
        <f t="shared" si="582"/>
        <v>A</v>
      </c>
      <c r="AB436" s="703" t="str">
        <f t="shared" si="583"/>
        <v>A</v>
      </c>
      <c r="AC436" s="703" t="str">
        <f t="shared" si="584"/>
        <v>A</v>
      </c>
      <c r="AD436" s="804"/>
      <c r="AE436" s="804"/>
      <c r="AF436" s="791"/>
      <c r="AG436" s="798"/>
      <c r="AH436" s="928"/>
      <c r="AI436" s="732"/>
      <c r="AJ436" s="733"/>
    </row>
    <row r="437" spans="1:51" hidden="1" outlineLevel="1" x14ac:dyDescent="0.25">
      <c r="A437" s="159"/>
      <c r="B437" s="1359"/>
      <c r="C437" s="672" t="str">
        <f>'Optimalizačné opatrenia'!$B$13</f>
        <v>Proaktivita</v>
      </c>
      <c r="D437" s="718" t="s">
        <v>530</v>
      </c>
      <c r="E437" s="773" t="s">
        <v>530</v>
      </c>
      <c r="F437" s="703" t="str">
        <f t="shared" si="570"/>
        <v>N</v>
      </c>
      <c r="G437" s="703" t="str">
        <f t="shared" si="571"/>
        <v>N</v>
      </c>
      <c r="H437" s="703"/>
      <c r="I437" s="703"/>
      <c r="J437" s="703"/>
      <c r="K437" s="703"/>
      <c r="L437" s="703"/>
      <c r="M437" s="703" t="s">
        <v>530</v>
      </c>
      <c r="N437" s="703"/>
      <c r="O437" s="703"/>
      <c r="P437" s="703" t="str">
        <f t="shared" si="572"/>
        <v>N</v>
      </c>
      <c r="Q437" s="703" t="str">
        <f t="shared" si="573"/>
        <v>N</v>
      </c>
      <c r="R437" s="703" t="str">
        <f t="shared" si="574"/>
        <v>A</v>
      </c>
      <c r="S437" s="703" t="str">
        <f t="shared" si="575"/>
        <v>A</v>
      </c>
      <c r="T437" s="703" t="str">
        <f t="shared" si="576"/>
        <v>A</v>
      </c>
      <c r="U437" s="703" t="str">
        <f t="shared" si="577"/>
        <v>N</v>
      </c>
      <c r="V437" s="703" t="str">
        <f t="shared" si="578"/>
        <v>A</v>
      </c>
      <c r="W437" s="703" t="str">
        <f t="shared" si="578"/>
        <v>N</v>
      </c>
      <c r="X437" s="703" t="str">
        <f t="shared" si="579"/>
        <v>N</v>
      </c>
      <c r="Y437" s="703" t="str">
        <f t="shared" si="580"/>
        <v>A</v>
      </c>
      <c r="Z437" s="703" t="str">
        <f t="shared" si="581"/>
        <v>A</v>
      </c>
      <c r="AA437" s="703" t="str">
        <f t="shared" si="582"/>
        <v>A</v>
      </c>
      <c r="AB437" s="703" t="str">
        <f t="shared" si="583"/>
        <v>N</v>
      </c>
      <c r="AC437" s="703" t="str">
        <f t="shared" si="584"/>
        <v>A</v>
      </c>
      <c r="AD437" s="804"/>
      <c r="AE437" s="804"/>
      <c r="AF437" s="791"/>
      <c r="AG437" s="798"/>
      <c r="AH437" s="928"/>
      <c r="AI437" s="732"/>
      <c r="AJ437" s="733"/>
    </row>
    <row r="438" spans="1:51" hidden="1" outlineLevel="1" x14ac:dyDescent="0.25">
      <c r="A438" s="159"/>
      <c r="B438" s="720"/>
      <c r="C438" s="722" t="s">
        <v>538</v>
      </c>
      <c r="D438" s="774">
        <v>0</v>
      </c>
      <c r="E438" s="721">
        <v>0</v>
      </c>
      <c r="F438" s="724">
        <f t="shared" si="570"/>
        <v>0</v>
      </c>
      <c r="G438" s="724">
        <f t="shared" si="571"/>
        <v>0.3</v>
      </c>
      <c r="H438" s="724"/>
      <c r="I438" s="724"/>
      <c r="J438" s="724"/>
      <c r="K438" s="724"/>
      <c r="L438" s="724"/>
      <c r="M438" s="724">
        <v>0</v>
      </c>
      <c r="N438" s="724"/>
      <c r="O438" s="724"/>
      <c r="P438" s="724">
        <f t="shared" si="572"/>
        <v>0.45</v>
      </c>
      <c r="Q438" s="724">
        <f t="shared" si="573"/>
        <v>0.3</v>
      </c>
      <c r="R438" s="724">
        <f t="shared" si="574"/>
        <v>0.25</v>
      </c>
      <c r="S438" s="724">
        <f t="shared" si="575"/>
        <v>0.25</v>
      </c>
      <c r="T438" s="724">
        <f t="shared" si="576"/>
        <v>0.25</v>
      </c>
      <c r="U438" s="724">
        <f t="shared" si="577"/>
        <v>0.3</v>
      </c>
      <c r="V438" s="724">
        <f t="shared" si="578"/>
        <v>0.5</v>
      </c>
      <c r="W438" s="724">
        <f t="shared" si="578"/>
        <v>0.3</v>
      </c>
      <c r="X438" s="724">
        <f t="shared" si="579"/>
        <v>0.3</v>
      </c>
      <c r="Y438" s="724">
        <f t="shared" si="580"/>
        <v>0.25</v>
      </c>
      <c r="Z438" s="724">
        <f t="shared" si="581"/>
        <v>0.25</v>
      </c>
      <c r="AA438" s="724">
        <f t="shared" si="582"/>
        <v>0.5</v>
      </c>
      <c r="AB438" s="724">
        <f t="shared" si="583"/>
        <v>0.3</v>
      </c>
      <c r="AC438" s="724">
        <f t="shared" si="584"/>
        <v>0.25</v>
      </c>
      <c r="AD438" s="805"/>
      <c r="AE438" s="805"/>
      <c r="AF438" s="792"/>
      <c r="AG438" s="799"/>
      <c r="AH438" s="929"/>
      <c r="AI438" s="735"/>
      <c r="AJ438" s="736"/>
    </row>
    <row r="439" spans="1:51" collapsed="1" x14ac:dyDescent="0.25">
      <c r="A439" s="159"/>
      <c r="B439" s="767"/>
      <c r="C439" s="768" t="s">
        <v>588</v>
      </c>
      <c r="D439" s="769"/>
      <c r="E439" s="769"/>
      <c r="F439" s="769"/>
      <c r="G439" s="770"/>
      <c r="H439" s="770"/>
      <c r="I439" s="770"/>
      <c r="J439" s="770"/>
      <c r="K439" s="770"/>
      <c r="L439" s="770"/>
      <c r="M439" s="770"/>
      <c r="N439" s="770"/>
      <c r="O439" s="770"/>
      <c r="P439" s="770"/>
      <c r="Q439" s="770"/>
      <c r="R439" s="770"/>
      <c r="S439" s="770"/>
      <c r="T439" s="770"/>
      <c r="U439" s="770"/>
      <c r="V439" s="770"/>
      <c r="W439" s="770"/>
      <c r="X439" s="770"/>
      <c r="Y439" s="770"/>
      <c r="Z439" s="770"/>
      <c r="AA439" s="770"/>
      <c r="AB439" s="770"/>
      <c r="AC439" s="770"/>
      <c r="AD439" s="806"/>
      <c r="AE439" s="806"/>
      <c r="AF439" s="794"/>
      <c r="AG439" s="802">
        <f>'Procesy - AS IS'!AG107/(1+$AF424)-'Procesy - AS IS'!AG107</f>
        <v>0</v>
      </c>
      <c r="AH439" s="932">
        <f>'Procesy - AS IS'!AH107/(1+$AF424)-'Procesy - AS IS'!AH107</f>
        <v>0</v>
      </c>
      <c r="AI439" s="771">
        <f>'Procesy - AS IS'!AI107/(1+$AF424)-'Procesy - AS IS'!AI107</f>
        <v>0</v>
      </c>
      <c r="AJ439" s="772">
        <f>'Procesy - AS IS'!AJ107/(1+$AF424)-'Procesy - AS IS'!AJ107</f>
        <v>0</v>
      </c>
    </row>
    <row r="440" spans="1:51" ht="6" customHeight="1" thickBot="1" x14ac:dyDescent="0.3">
      <c r="B440" s="775"/>
      <c r="C440" s="776"/>
      <c r="D440" s="777"/>
      <c r="E440" s="778"/>
      <c r="F440" s="778"/>
      <c r="G440" s="779"/>
      <c r="H440" s="779"/>
      <c r="I440" s="779"/>
      <c r="J440" s="779"/>
      <c r="K440" s="779"/>
      <c r="L440" s="779"/>
      <c r="M440" s="779"/>
      <c r="N440" s="779"/>
      <c r="O440" s="779"/>
      <c r="P440" s="779"/>
      <c r="Q440" s="779"/>
      <c r="R440" s="779"/>
      <c r="S440" s="779"/>
      <c r="T440" s="779"/>
      <c r="U440" s="779"/>
      <c r="V440" s="779"/>
      <c r="W440" s="779"/>
      <c r="X440" s="779"/>
      <c r="Y440" s="779"/>
      <c r="Z440" s="779"/>
      <c r="AA440" s="779"/>
      <c r="AB440" s="779"/>
      <c r="AC440" s="778"/>
      <c r="AD440" s="807"/>
      <c r="AE440" s="807"/>
      <c r="AF440" s="780"/>
      <c r="AG440" s="781"/>
      <c r="AH440" s="933"/>
      <c r="AI440" s="781"/>
      <c r="AJ440" s="782"/>
      <c r="AL440" s="232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</row>
    <row r="442" spans="1:51" x14ac:dyDescent="0.25">
      <c r="B442" s="1179" t="s">
        <v>540</v>
      </c>
      <c r="C442" s="411"/>
      <c r="D442" s="1153"/>
      <c r="E442" s="1153"/>
      <c r="F442" s="1153"/>
      <c r="G442" s="1153"/>
      <c r="H442" s="1153"/>
      <c r="I442" s="1153"/>
      <c r="J442" s="1153"/>
      <c r="K442" s="1153"/>
      <c r="L442" s="1153"/>
      <c r="M442" s="1153"/>
      <c r="N442" s="1153"/>
      <c r="O442" s="1153"/>
      <c r="P442" s="1153"/>
      <c r="Q442" s="1153"/>
      <c r="R442" s="1153"/>
      <c r="S442" s="1153"/>
      <c r="T442" s="1153"/>
      <c r="U442" s="1153"/>
      <c r="V442" s="1153"/>
      <c r="W442" s="1153"/>
      <c r="X442" s="1153"/>
      <c r="Y442" s="1153"/>
      <c r="Z442" s="1153"/>
      <c r="AA442" s="1153"/>
      <c r="AB442" s="1153"/>
      <c r="AC442" s="1153"/>
      <c r="AD442" s="1153"/>
      <c r="AE442" s="1153"/>
      <c r="AF442" s="1153"/>
      <c r="AG442" s="1153"/>
      <c r="AH442" s="1153"/>
      <c r="AI442" s="1153"/>
      <c r="AJ442" s="1153"/>
    </row>
    <row r="443" spans="1:51" x14ac:dyDescent="0.25">
      <c r="B443" s="411" t="s">
        <v>547</v>
      </c>
      <c r="C443" s="411"/>
      <c r="D443" s="1153"/>
      <c r="E443" s="1153"/>
      <c r="F443" s="1180">
        <v>4</v>
      </c>
      <c r="G443" s="1153"/>
      <c r="H443" s="1153"/>
      <c r="I443" s="1153"/>
      <c r="J443" s="1153"/>
      <c r="K443" s="1153"/>
      <c r="L443" s="1153"/>
      <c r="M443" s="1153"/>
      <c r="N443" s="1153"/>
      <c r="O443" s="1153"/>
      <c r="P443" s="1153"/>
      <c r="Q443" s="1153"/>
      <c r="R443" s="1153"/>
      <c r="S443" s="1153"/>
      <c r="T443" s="1153"/>
      <c r="U443" s="1153"/>
      <c r="V443" s="1153"/>
      <c r="W443" s="1153"/>
      <c r="X443" s="1153"/>
      <c r="Y443" s="1153"/>
      <c r="Z443" s="1153"/>
      <c r="AA443" s="1153"/>
      <c r="AB443" s="1153"/>
      <c r="AC443" s="1153"/>
      <c r="AD443" s="1153"/>
      <c r="AE443" s="1153"/>
      <c r="AF443" s="1153"/>
      <c r="AG443" s="1153"/>
      <c r="AH443" s="1153"/>
      <c r="AI443" s="1153"/>
      <c r="AJ443" s="1153"/>
    </row>
    <row r="444" spans="1:51" x14ac:dyDescent="0.25">
      <c r="B444" s="411" t="s">
        <v>313</v>
      </c>
      <c r="C444" s="411"/>
      <c r="D444" s="1153"/>
      <c r="E444" s="1153"/>
      <c r="F444" s="1180">
        <f>'Počet inšpektorov'!$C$9</f>
        <v>111</v>
      </c>
      <c r="G444" s="1153"/>
      <c r="H444" s="1153"/>
      <c r="I444" s="1153"/>
      <c r="J444" s="1153"/>
      <c r="K444" s="1153"/>
      <c r="L444" s="1153"/>
      <c r="M444" s="1153"/>
      <c r="N444" s="1153"/>
      <c r="O444" s="1153"/>
      <c r="P444" s="1153"/>
      <c r="Q444" s="1153"/>
      <c r="R444" s="1153"/>
      <c r="S444" s="1153"/>
      <c r="T444" s="1153"/>
      <c r="U444" s="1153"/>
      <c r="V444" s="1153"/>
      <c r="W444" s="1153"/>
      <c r="X444" s="1153"/>
      <c r="Y444" s="1153"/>
      <c r="Z444" s="1153"/>
      <c r="AA444" s="1153"/>
      <c r="AB444" s="1153"/>
      <c r="AC444" s="1153"/>
      <c r="AD444" s="1153"/>
      <c r="AE444" s="1153"/>
      <c r="AF444" s="1153"/>
      <c r="AG444" s="1153"/>
      <c r="AH444" s="1153"/>
      <c r="AI444" s="1153"/>
      <c r="AJ444" s="1153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</row>
    <row r="445" spans="1:51" x14ac:dyDescent="0.25">
      <c r="B445" s="411" t="s">
        <v>624</v>
      </c>
      <c r="C445" s="411"/>
      <c r="D445" s="1153"/>
      <c r="E445" s="1153"/>
      <c r="F445" s="1181">
        <f>F443/F444</f>
        <v>3.6036036036036036E-2</v>
      </c>
      <c r="G445" s="1153"/>
      <c r="H445" s="1153"/>
      <c r="I445" s="1153"/>
      <c r="J445" s="1153"/>
      <c r="K445" s="1153"/>
      <c r="L445" s="1153"/>
      <c r="M445" s="1153"/>
      <c r="N445" s="1153"/>
      <c r="O445" s="1153"/>
      <c r="P445" s="1153"/>
      <c r="Q445" s="1153"/>
      <c r="R445" s="1153"/>
      <c r="S445" s="1153"/>
      <c r="T445" s="1153"/>
      <c r="U445" s="1153"/>
      <c r="V445" s="1153"/>
      <c r="W445" s="1153"/>
      <c r="X445" s="1153"/>
      <c r="Y445" s="1153"/>
      <c r="Z445" s="1153"/>
      <c r="AA445" s="1153"/>
      <c r="AB445" s="1182"/>
      <c r="AC445" s="1153"/>
      <c r="AD445" s="1153"/>
      <c r="AE445" s="1153"/>
      <c r="AF445" s="1153"/>
      <c r="AG445" s="1183">
        <f>('Procesy - AS IS'!AG4+'Procesy - ∆'!AG4)*$F445</f>
        <v>145.0576386766358</v>
      </c>
      <c r="AH445" s="1183">
        <f>('Procesy - AS IS'!AH4+'Procesy - ∆'!AH4)*$F445</f>
        <v>49.610504407646339</v>
      </c>
      <c r="AI445" s="1183">
        <f>('Procesy - AS IS'!AI4+'Procesy - ∆'!AI4)*$F445</f>
        <v>32.174254760714099</v>
      </c>
      <c r="AJ445" s="1183">
        <f>('Procesy - AS IS'!AJ4+'Procesy - ∆'!AJ4)*$F445</f>
        <v>5.2421702901417229</v>
      </c>
      <c r="AM445"/>
      <c r="AN445"/>
      <c r="AO445"/>
      <c r="AP445"/>
      <c r="AQ445"/>
      <c r="AR445"/>
      <c r="AS445"/>
      <c r="AT445"/>
      <c r="AU445"/>
      <c r="AV445"/>
      <c r="AW445"/>
      <c r="AX445"/>
      <c r="AY445"/>
    </row>
    <row r="446" spans="1:51" x14ac:dyDescent="0.25">
      <c r="B446" s="411" t="str">
        <f>"Prírastkok počtu kontrol so zistením na úroveň "&amp;TEXT(Faktory!D19,"0%")&amp;" celkového počtu kontrol"</f>
        <v>Prírastkok počtu kontrol so zistením na úroveň 40% celkového počtu kontrol</v>
      </c>
      <c r="C446" s="411"/>
      <c r="D446" s="1153"/>
      <c r="E446" s="1153"/>
      <c r="F446" s="1181"/>
      <c r="G446" s="1153"/>
      <c r="H446" s="1153"/>
      <c r="I446" s="1153"/>
      <c r="J446" s="1153"/>
      <c r="K446" s="1153"/>
      <c r="L446" s="1153"/>
      <c r="M446" s="1153"/>
      <c r="N446" s="1153"/>
      <c r="O446" s="1153"/>
      <c r="P446" s="1153"/>
      <c r="Q446" s="1153"/>
      <c r="R446" s="1153"/>
      <c r="S446" s="1153"/>
      <c r="T446" s="1153"/>
      <c r="U446" s="1153"/>
      <c r="V446" s="1153"/>
      <c r="W446" s="1153"/>
      <c r="X446" s="1153"/>
      <c r="Y446" s="1153"/>
      <c r="Z446" s="1153"/>
      <c r="AA446" s="1153"/>
      <c r="AB446" s="1153"/>
      <c r="AC446" s="1153"/>
      <c r="AD446" s="1153"/>
      <c r="AE446" s="1153"/>
      <c r="AF446" s="1153"/>
      <c r="AG446" s="1183">
        <v>0</v>
      </c>
      <c r="AH446" s="1183">
        <f>AH447-AH445-AH4</f>
        <v>241.86084306147984</v>
      </c>
      <c r="AI446" s="1184" t="s">
        <v>314</v>
      </c>
      <c r="AJ446" s="1184" t="s">
        <v>314</v>
      </c>
    </row>
    <row r="447" spans="1:51" s="101" customFormat="1" x14ac:dyDescent="0.25">
      <c r="B447" s="1179" t="s">
        <v>548</v>
      </c>
      <c r="C447" s="1179"/>
      <c r="D447" s="1185"/>
      <c r="E447" s="1185"/>
      <c r="F447" s="1185"/>
      <c r="G447" s="1185"/>
      <c r="H447" s="1185"/>
      <c r="I447" s="1185"/>
      <c r="J447" s="1185"/>
      <c r="K447" s="1185"/>
      <c r="L447" s="1185"/>
      <c r="M447" s="1185"/>
      <c r="N447" s="1185"/>
      <c r="O447" s="1185"/>
      <c r="P447" s="1185"/>
      <c r="Q447" s="1185"/>
      <c r="R447" s="1185"/>
      <c r="S447" s="1185"/>
      <c r="T447" s="1185"/>
      <c r="U447" s="1185"/>
      <c r="V447" s="1185"/>
      <c r="W447" s="1185"/>
      <c r="X447" s="1185"/>
      <c r="Y447" s="1185"/>
      <c r="Z447" s="1185"/>
      <c r="AA447" s="1185"/>
      <c r="AB447" s="1185"/>
      <c r="AC447" s="1185"/>
      <c r="AD447" s="1185"/>
      <c r="AE447" s="1185"/>
      <c r="AF447" s="1185"/>
      <c r="AG447" s="1186">
        <f>SUM(AG4,AG445:AG446)</f>
        <v>1511.4071119532798</v>
      </c>
      <c r="AH447" s="1186">
        <f>('Procesy - TO BE'!AG54-'Procesy - AS IS'!AH4)*(1+AH450)</f>
        <v>768.16284478131206</v>
      </c>
      <c r="AI447" s="1187" t="s">
        <v>314</v>
      </c>
      <c r="AJ447" s="1187" t="s">
        <v>314</v>
      </c>
      <c r="AK447" s="692"/>
      <c r="AL447" s="692"/>
      <c r="AM447" s="692"/>
      <c r="AN447" s="692"/>
      <c r="AO447" s="692"/>
      <c r="AP447" s="692"/>
      <c r="AQ447" s="692"/>
      <c r="AR447" s="692"/>
      <c r="AS447" s="692"/>
      <c r="AT447" s="692"/>
      <c r="AU447" s="692"/>
      <c r="AV447" s="692"/>
      <c r="AW447" s="692"/>
      <c r="AX447" s="692"/>
      <c r="AY447" s="692"/>
    </row>
    <row r="448" spans="1:51" x14ac:dyDescent="0.25">
      <c r="B448" s="411" t="s">
        <v>553</v>
      </c>
      <c r="C448" s="411"/>
      <c r="D448" s="1153"/>
      <c r="E448" s="1153"/>
      <c r="F448" s="1153"/>
      <c r="G448" s="1153"/>
      <c r="H448" s="1153"/>
      <c r="I448" s="1153"/>
      <c r="J448" s="1153"/>
      <c r="K448" s="1153"/>
      <c r="L448" s="1153"/>
      <c r="M448" s="1153"/>
      <c r="N448" s="1153"/>
      <c r="O448" s="1153"/>
      <c r="P448" s="1153"/>
      <c r="Q448" s="1153"/>
      <c r="R448" s="1153"/>
      <c r="S448" s="1153"/>
      <c r="T448" s="1153"/>
      <c r="U448" s="1153"/>
      <c r="V448" s="1153"/>
      <c r="W448" s="1153"/>
      <c r="X448" s="1153"/>
      <c r="Y448" s="1153"/>
      <c r="Z448" s="1153"/>
      <c r="AA448" s="1153"/>
      <c r="AB448" s="1153"/>
      <c r="AC448" s="1153"/>
      <c r="AD448" s="1153"/>
      <c r="AE448" s="1153"/>
      <c r="AF448" s="1153"/>
      <c r="AG448" s="1188">
        <f>AG447/'Procesy - AS IS'!AG4</f>
        <v>0.56841185105426095</v>
      </c>
      <c r="AH448" s="1188">
        <f>AH447/'Procesy - AS IS'!AH4</f>
        <v>0.85351427197923557</v>
      </c>
      <c r="AI448" s="1184" t="s">
        <v>314</v>
      </c>
      <c r="AJ448" s="1184" t="s">
        <v>314</v>
      </c>
    </row>
    <row r="449" spans="32:52" x14ac:dyDescent="0.25">
      <c r="AG449"/>
      <c r="AH449"/>
      <c r="AI449"/>
      <c r="AJ449"/>
    </row>
    <row r="450" spans="32:52" x14ac:dyDescent="0.25">
      <c r="AF450" s="694" t="s">
        <v>552</v>
      </c>
      <c r="AG450" s="697">
        <v>0</v>
      </c>
      <c r="AH450" s="697">
        <f>$AG$450</f>
        <v>0</v>
      </c>
      <c r="AI450" s="954"/>
      <c r="AZ450" s="227"/>
    </row>
    <row r="451" spans="32:52" x14ac:dyDescent="0.25">
      <c r="AZ451" s="227"/>
    </row>
  </sheetData>
  <mergeCells count="30">
    <mergeCell ref="B396:B407"/>
    <mergeCell ref="B410:B421"/>
    <mergeCell ref="B80:B91"/>
    <mergeCell ref="B96:B107"/>
    <mergeCell ref="B426:B437"/>
    <mergeCell ref="B210:B221"/>
    <mergeCell ref="B266:B277"/>
    <mergeCell ref="B280:B291"/>
    <mergeCell ref="B296:B307"/>
    <mergeCell ref="B338:B349"/>
    <mergeCell ref="B354:B365"/>
    <mergeCell ref="B238:B249"/>
    <mergeCell ref="B252:B263"/>
    <mergeCell ref="B310:B321"/>
    <mergeCell ref="B324:B335"/>
    <mergeCell ref="B368:B379"/>
    <mergeCell ref="B382:B393"/>
    <mergeCell ref="B10:B21"/>
    <mergeCell ref="B24:B35"/>
    <mergeCell ref="B38:B49"/>
    <mergeCell ref="B196:B207"/>
    <mergeCell ref="B224:B235"/>
    <mergeCell ref="B110:B121"/>
    <mergeCell ref="B124:B135"/>
    <mergeCell ref="B166:B177"/>
    <mergeCell ref="B180:B191"/>
    <mergeCell ref="B52:B63"/>
    <mergeCell ref="B66:B77"/>
    <mergeCell ref="B138:B149"/>
    <mergeCell ref="B152:B163"/>
  </mergeCells>
  <conditionalFormatting sqref="D338:K349">
    <cfRule type="cellIs" dxfId="23" priority="249" operator="equal">
      <formula>"N"</formula>
    </cfRule>
    <cfRule type="cellIs" dxfId="22" priority="250" operator="equal">
      <formula>"A"</formula>
    </cfRule>
  </conditionalFormatting>
  <conditionalFormatting sqref="D410:AE423">
    <cfRule type="cellIs" dxfId="21" priority="173" operator="equal">
      <formula>"N"</formula>
    </cfRule>
    <cfRule type="cellIs" dxfId="20" priority="174" operator="equal">
      <formula>"A"</formula>
    </cfRule>
  </conditionalFormatting>
  <conditionalFormatting sqref="D10:AH22 D24:AH36 D38:AH50 D52:AH64 D66:AH78 AF80:AH92 D80:AE93 AF93:AG93 D96:AH108 D110:AH122 D124:AH136 D138:AH150 D152:AH164 D166:AH178 AF180:AH192 D180:AE193 AF193:AG193 D196:AH208 D210:AH222 D224:AH236 D238:AH250 D252:AH264 D266:AH278 AF280:AH292 D280:AE293 AF293:AG293 D296:AH308 D310:AH322 D324:AH336 N338:AE349 AF338:AH350 D350:E351 AB350:AE351 AF351:AG351 D354:AH366 D368:AH380 D382:AH394 D396:AH408 AF410:AH422 AF423:AG423 AF426:AH438 D426:AE439 AF439:AG439">
    <cfRule type="cellIs" dxfId="19" priority="253" operator="equal">
      <formula>"N"</formula>
    </cfRule>
    <cfRule type="cellIs" dxfId="18" priority="254" operator="equal">
      <formula>"A"</formula>
    </cfRule>
  </conditionalFormatting>
  <conditionalFormatting sqref="F350:K350 N350:AA350">
    <cfRule type="cellIs" dxfId="17" priority="275" operator="equal">
      <formula>"N"</formula>
    </cfRule>
    <cfRule type="cellIs" dxfId="16" priority="276" operator="equal">
      <formula>"A"</formula>
    </cfRule>
  </conditionalFormatting>
  <conditionalFormatting sqref="F351:AA351">
    <cfRule type="cellIs" dxfId="15" priority="259" operator="equal">
      <formula>"N"</formula>
    </cfRule>
    <cfRule type="cellIs" dxfId="14" priority="260" operator="equal">
      <formula>"A"</formula>
    </cfRule>
  </conditionalFormatting>
  <conditionalFormatting sqref="L338:M350">
    <cfRule type="cellIs" dxfId="13" priority="227" operator="equal">
      <formula>"N"</formula>
    </cfRule>
    <cfRule type="cellIs" dxfId="12" priority="228" operator="equal">
      <formula>"A"</formula>
    </cfRule>
  </conditionalFormatting>
  <pageMargins left="0.7" right="0.7" top="0.75" bottom="0.75" header="0.3" footer="0.3"/>
  <pageSetup paperSize="9" scale="67"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A1:BA60"/>
  <sheetViews>
    <sheetView showGridLines="0" zoomScaleNormal="100" zoomScaleSheetLayoutView="100" workbookViewId="0">
      <pane xSplit="3" ySplit="4" topLeftCell="Z5" activePane="bottomRight" state="frozen"/>
      <selection activeCell="C47" sqref="C47"/>
      <selection pane="topRight" activeCell="C47" sqref="C47"/>
      <selection pane="bottomLeft" activeCell="C47" sqref="C47"/>
      <selection pane="bottomRight" activeCell="C47" sqref="C47"/>
    </sheetView>
  </sheetViews>
  <sheetFormatPr defaultColWidth="8.85546875" defaultRowHeight="15" x14ac:dyDescent="0.25"/>
  <cols>
    <col min="2" max="2" width="21.42578125" customWidth="1"/>
    <col min="3" max="3" width="37" customWidth="1"/>
    <col min="4" max="29" width="14.42578125" style="227" customWidth="1"/>
    <col min="30" max="30" width="23.140625" style="227" customWidth="1"/>
    <col min="31" max="31" width="14.42578125" style="227" customWidth="1"/>
    <col min="32" max="32" width="12.5703125" style="227" customWidth="1"/>
    <col min="33" max="34" width="13.42578125" style="227" customWidth="1"/>
    <col min="35" max="35" width="10.5703125" style="227" customWidth="1"/>
    <col min="36" max="52" width="8.42578125" style="227" customWidth="1"/>
  </cols>
  <sheetData>
    <row r="1" spans="1:53" ht="15.75" thickBot="1" x14ac:dyDescent="0.3"/>
    <row r="2" spans="1:53" s="61" customFormat="1" ht="94.5" customHeight="1" thickBot="1" x14ac:dyDescent="0.3">
      <c r="A2" s="649"/>
      <c r="B2" s="230" t="s">
        <v>211</v>
      </c>
      <c r="C2" s="645" t="str">
        <f>'Procesy - AS IS'!C2</f>
        <v>Inšpekčná činnosť</v>
      </c>
      <c r="D2" s="646" t="str">
        <f>'Procesy - ∆'!D2</f>
        <v>Prijatie oznámenia MZV</v>
      </c>
      <c r="E2" s="646" t="str">
        <f>'Procesy - ∆'!E2</f>
        <v>Príprava na kontrolu pred vydaním poverenia</v>
      </c>
      <c r="F2" s="646" t="str">
        <f>'Procesy - ∆'!F2</f>
        <v>Vystavenie poverenia</v>
      </c>
      <c r="G2" s="646" t="str">
        <f>'Procesy - ∆'!G2</f>
        <v>Oboznámenie sa s predchádzajúcimi zisteniami</v>
      </c>
      <c r="H2" s="646" t="str">
        <f>'Procesy - ∆'!H2</f>
        <v>Oboznámenie sa s výškou predchádzajúcich sankcií</v>
      </c>
      <c r="I2" s="646" t="str">
        <f>'Procesy - ∆'!I2</f>
        <v>Oboznámenie sa s uhrádzaním sankcií</v>
      </c>
      <c r="J2" s="646" t="str">
        <f>'Procesy - ∆'!J2</f>
        <v>Oboznámenie sa s plnením nápravných opatrení</v>
      </c>
      <c r="K2" s="646" t="str">
        <f>'Procesy - ∆'!K2</f>
        <v>Zber externých údajov pri príprave kontroly</v>
      </c>
      <c r="L2" s="646" t="str">
        <f>'Procesy - ∆'!L2</f>
        <v>Vypracovanie oznámenia o začatí kontroly</v>
      </c>
      <c r="M2" s="646" t="str">
        <f>'Procesy - ∆'!M2</f>
        <v>Vypracovanie zoznamu požadovanej dokumentácie</v>
      </c>
      <c r="N2" s="646" t="str">
        <f>'Procesy - ∆'!N2</f>
        <v>Vypracovanie zoznamu kontrolných otázok</v>
      </c>
      <c r="O2" s="646" t="str">
        <f>'Procesy - ∆'!O2</f>
        <v>Administratívna príprava kontroly</v>
      </c>
      <c r="P2" s="646" t="str">
        <f>'Procesy - ∆'!P2</f>
        <v>Uloženie dôkazov z ohliadky do spisu</v>
      </c>
      <c r="Q2" s="646" t="str">
        <f>'Procesy - ∆'!Q2</f>
        <v>Vypracovanie zápisu z ohliadky / čiastkového / priebežného protokolu</v>
      </c>
      <c r="R2" s="646" t="str">
        <f>'Procesy - ∆'!R2</f>
        <v>Vypracovanie výstupu z kontroly (protokol, správa)</v>
      </c>
      <c r="S2" s="646" t="str">
        <f>'Procesy - ∆'!S2</f>
        <v>Vypracovanie výstupu z kontroly (záznam, správa)</v>
      </c>
      <c r="T2" s="646" t="str">
        <f>'Procesy - ∆'!T2</f>
        <v>Vypracovanie stanoviska k pripomienkam kontrolovaného subjektu</v>
      </c>
      <c r="U2" s="646" t="str">
        <f>'Procesy - ∆'!U2</f>
        <v>Vypracovanie zápisnice z prerokovania výstupu z kontroly</v>
      </c>
      <c r="V2" s="646" t="str">
        <f>'Procesy - ∆'!V2</f>
        <v>Ukončenie spisu</v>
      </c>
      <c r="W2" s="646" t="str">
        <f>'Procesy - ∆'!W2</f>
        <v>Vypracovanie a zaslanie oznámenia o začatí správneho konania</v>
      </c>
      <c r="X2" s="646" t="str">
        <f>'Procesy - ∆'!X2</f>
        <v>Vypracovanie zápisnice z ústneho pojednávania</v>
      </c>
      <c r="Y2" s="646" t="str">
        <f>'Procesy - ∆'!Y2</f>
        <v>Vypracovanie rozhodnutia o sankcii</v>
      </c>
      <c r="Z2" s="646" t="str">
        <f>'Procesy - ∆'!Z2</f>
        <v>Vypracovanie upovedomenia o postúpení odvolania</v>
      </c>
      <c r="AA2" s="646" t="str">
        <f>'Procesy - ∆'!AA2</f>
        <v>Žurnalizácia spisu</v>
      </c>
      <c r="AB2" s="646" t="str">
        <f>'Procesy - ∆'!AB2</f>
        <v>Vypracovanie predkladacej správy k odvolaniu</v>
      </c>
      <c r="AC2" s="646" t="str">
        <f>'Procesy - ∆'!AC2</f>
        <v>Vypracovanie rozhodnutia o odvolaní</v>
      </c>
      <c r="AD2" s="1190" t="s">
        <v>1107</v>
      </c>
      <c r="AE2" s="700" t="str">
        <f>'Procesy - ∆'!AE2</f>
        <v>Trvanie spolu</v>
      </c>
      <c r="AF2" s="700" t="str">
        <f>'Procesy - ∆'!AG2</f>
        <v>Počet kontrol</v>
      </c>
      <c r="AG2" s="647" t="str">
        <f>'Procesy - ∆'!AH2</f>
        <v>Počet kontrol so zistením</v>
      </c>
      <c r="AH2" s="647" t="str">
        <f>'Procesy - ∆'!AI2</f>
        <v>Počet kontrol s pokutou</v>
      </c>
      <c r="AI2" s="701" t="str">
        <f>'Procesy - ∆'!AJ2</f>
        <v>Počet kontrol s odvolaním</v>
      </c>
      <c r="AJ2" s="678"/>
      <c r="AK2" s="678"/>
      <c r="AL2" s="678"/>
      <c r="AM2" s="679"/>
      <c r="AN2" s="648"/>
      <c r="AO2" s="648"/>
      <c r="AP2" s="680"/>
      <c r="AQ2" s="680"/>
      <c r="AR2" s="680"/>
      <c r="AS2" s="680"/>
      <c r="AT2" s="680"/>
      <c r="AU2" s="680"/>
      <c r="AV2" s="680"/>
      <c r="AW2" s="648"/>
      <c r="AX2" s="648"/>
      <c r="AY2" s="680"/>
      <c r="AZ2" s="680"/>
      <c r="BA2" s="680"/>
    </row>
    <row r="3" spans="1:53" x14ac:dyDescent="0.25">
      <c r="A3" s="148"/>
      <c r="B3" s="655"/>
      <c r="C3" s="656"/>
      <c r="D3" s="662" t="s">
        <v>513</v>
      </c>
      <c r="E3" s="661" t="s">
        <v>513</v>
      </c>
      <c r="F3" s="661" t="s">
        <v>513</v>
      </c>
      <c r="G3" s="665" t="s">
        <v>513</v>
      </c>
      <c r="H3" s="665" t="s">
        <v>513</v>
      </c>
      <c r="I3" s="665" t="s">
        <v>513</v>
      </c>
      <c r="J3" s="665" t="s">
        <v>513</v>
      </c>
      <c r="K3" s="665" t="s">
        <v>513</v>
      </c>
      <c r="L3" s="665" t="s">
        <v>513</v>
      </c>
      <c r="M3" s="665" t="s">
        <v>513</v>
      </c>
      <c r="N3" s="665" t="s">
        <v>513</v>
      </c>
      <c r="O3" s="665" t="s">
        <v>513</v>
      </c>
      <c r="P3" s="665" t="s">
        <v>513</v>
      </c>
      <c r="Q3" s="665" t="s">
        <v>513</v>
      </c>
      <c r="R3" s="665" t="s">
        <v>513</v>
      </c>
      <c r="S3" s="665" t="s">
        <v>513</v>
      </c>
      <c r="T3" s="665" t="s">
        <v>513</v>
      </c>
      <c r="U3" s="665" t="s">
        <v>513</v>
      </c>
      <c r="V3" s="665" t="s">
        <v>513</v>
      </c>
      <c r="W3" s="665" t="s">
        <v>513</v>
      </c>
      <c r="X3" s="665" t="s">
        <v>513</v>
      </c>
      <c r="Y3" s="665" t="s">
        <v>513</v>
      </c>
      <c r="Z3" s="665" t="s">
        <v>513</v>
      </c>
      <c r="AA3" s="665" t="s">
        <v>513</v>
      </c>
      <c r="AB3" s="665" t="s">
        <v>513</v>
      </c>
      <c r="AC3" s="661" t="s">
        <v>513</v>
      </c>
      <c r="AD3" s="661"/>
      <c r="AE3" s="808" t="s">
        <v>513</v>
      </c>
      <c r="AF3" s="812"/>
      <c r="AG3" s="820"/>
      <c r="AH3" s="820"/>
      <c r="AI3" s="686"/>
      <c r="AK3" s="232"/>
      <c r="AL3"/>
      <c r="AZ3"/>
    </row>
    <row r="4" spans="1:53" x14ac:dyDescent="0.25">
      <c r="A4" s="148"/>
      <c r="B4" s="666" t="s">
        <v>158</v>
      </c>
      <c r="C4" s="681" t="s">
        <v>521</v>
      </c>
      <c r="D4" s="698">
        <f t="shared" ref="D4:AC4" si="0">D7*$AF7/$AF4+D15*$AF15/$AF4+D24*$AF24/$AF4+D33*$AF33/$AF4+D39*$AF39/$AF4+D46*$AF46/$AF4</f>
        <v>0</v>
      </c>
      <c r="E4" s="698">
        <f t="shared" si="0"/>
        <v>0.52301202903309896</v>
      </c>
      <c r="F4" s="698">
        <f t="shared" si="0"/>
        <v>0.31882231547348949</v>
      </c>
      <c r="G4" s="698">
        <f t="shared" si="0"/>
        <v>7.2781594866418455</v>
      </c>
      <c r="H4" s="698">
        <f t="shared" si="0"/>
        <v>0</v>
      </c>
      <c r="I4" s="698">
        <f t="shared" si="0"/>
        <v>0</v>
      </c>
      <c r="J4" s="698">
        <f t="shared" si="0"/>
        <v>0</v>
      </c>
      <c r="K4" s="698">
        <f t="shared" si="0"/>
        <v>0</v>
      </c>
      <c r="L4" s="698">
        <f t="shared" si="0"/>
        <v>0.24259281726218057</v>
      </c>
      <c r="M4" s="698">
        <f t="shared" si="0"/>
        <v>0.77667572830382858</v>
      </c>
      <c r="N4" s="698">
        <f t="shared" si="0"/>
        <v>0</v>
      </c>
      <c r="O4" s="698">
        <f t="shared" si="0"/>
        <v>0</v>
      </c>
      <c r="P4" s="698">
        <f t="shared" si="0"/>
        <v>3.3236684106731809</v>
      </c>
      <c r="Q4" s="698">
        <f t="shared" si="0"/>
        <v>0</v>
      </c>
      <c r="R4" s="698">
        <f t="shared" si="0"/>
        <v>6.7135828742209878</v>
      </c>
      <c r="S4" s="698">
        <f t="shared" si="0"/>
        <v>8.6395576899981386</v>
      </c>
      <c r="T4" s="698">
        <f t="shared" si="0"/>
        <v>2.7282954408658378</v>
      </c>
      <c r="U4" s="698">
        <f t="shared" si="0"/>
        <v>2.4167961810825367</v>
      </c>
      <c r="V4" s="698">
        <f t="shared" si="0"/>
        <v>1.1571600575431504</v>
      </c>
      <c r="W4" s="698">
        <f t="shared" si="0"/>
        <v>0.34650851532262561</v>
      </c>
      <c r="X4" s="698">
        <f t="shared" si="0"/>
        <v>0</v>
      </c>
      <c r="Y4" s="698">
        <f t="shared" si="0"/>
        <v>2.9408201416649016</v>
      </c>
      <c r="Z4" s="698">
        <f t="shared" si="0"/>
        <v>3.1355755209873007E-2</v>
      </c>
      <c r="AA4" s="698">
        <f t="shared" si="0"/>
        <v>3.1189218831493913E-2</v>
      </c>
      <c r="AB4" s="698">
        <f t="shared" si="0"/>
        <v>0.26069583663079443</v>
      </c>
      <c r="AC4" s="698">
        <f t="shared" si="0"/>
        <v>5.0425756444762042</v>
      </c>
      <c r="AD4" s="698"/>
      <c r="AE4" s="749">
        <f>AE7*$AF7/$AF4+AE15*$AF15/$AF4+AE24*$AF24/$AF4+AE33*$AF33/$AF4+AE39*$AF39/$AF4+AE46*$AF46/$AF4</f>
        <v>239.11279865250691</v>
      </c>
      <c r="AF4" s="813">
        <f>AF7+AF15+AF24+AF33+AF39+AF46</f>
        <v>4025.3494732766439</v>
      </c>
      <c r="AG4" s="764">
        <f t="shared" ref="AG4:AI4" si="1">AG7+AG15+AG24+AG33+AG39+AG46</f>
        <v>1376.6914973121859</v>
      </c>
      <c r="AH4" s="764">
        <f t="shared" si="1"/>
        <v>971.49849710361445</v>
      </c>
      <c r="AI4" s="699">
        <f t="shared" si="1"/>
        <v>107.1625417796659</v>
      </c>
      <c r="AK4" s="232"/>
      <c r="AL4" s="233"/>
      <c r="AZ4"/>
    </row>
    <row r="5" spans="1:53" ht="30" x14ac:dyDescent="0.25">
      <c r="A5" s="148"/>
      <c r="B5" s="666"/>
      <c r="C5" s="1107" t="s">
        <v>1003</v>
      </c>
      <c r="D5" s="1108">
        <f>D4</f>
        <v>0</v>
      </c>
      <c r="E5" s="1108">
        <f t="shared" ref="E5:AC5" si="2">E4</f>
        <v>0.52301202903309896</v>
      </c>
      <c r="F5" s="1108">
        <f t="shared" si="2"/>
        <v>0.31882231547348949</v>
      </c>
      <c r="G5" s="1108">
        <f t="shared" si="2"/>
        <v>7.2781594866418455</v>
      </c>
      <c r="H5" s="1108">
        <f t="shared" si="2"/>
        <v>0</v>
      </c>
      <c r="I5" s="1108">
        <f t="shared" si="2"/>
        <v>0</v>
      </c>
      <c r="J5" s="1108">
        <f t="shared" si="2"/>
        <v>0</v>
      </c>
      <c r="K5" s="1108">
        <f t="shared" si="2"/>
        <v>0</v>
      </c>
      <c r="L5" s="1108">
        <f t="shared" si="2"/>
        <v>0.24259281726218057</v>
      </c>
      <c r="M5" s="1108">
        <f t="shared" si="2"/>
        <v>0.77667572830382858</v>
      </c>
      <c r="N5" s="1108">
        <f t="shared" si="2"/>
        <v>0</v>
      </c>
      <c r="O5" s="1108">
        <f t="shared" si="2"/>
        <v>0</v>
      </c>
      <c r="P5" s="1108">
        <f t="shared" si="2"/>
        <v>3.3236684106731809</v>
      </c>
      <c r="Q5" s="1108">
        <f t="shared" si="2"/>
        <v>0</v>
      </c>
      <c r="R5" s="1108">
        <f t="shared" si="2"/>
        <v>6.7135828742209878</v>
      </c>
      <c r="S5" s="1108">
        <f t="shared" si="2"/>
        <v>8.6395576899981386</v>
      </c>
      <c r="T5" s="1108">
        <f t="shared" si="2"/>
        <v>2.7282954408658378</v>
      </c>
      <c r="U5" s="1108">
        <f t="shared" si="2"/>
        <v>2.4167961810825367</v>
      </c>
      <c r="V5" s="1108">
        <f t="shared" si="2"/>
        <v>1.1571600575431504</v>
      </c>
      <c r="W5" s="1108">
        <f t="shared" si="2"/>
        <v>0.34650851532262561</v>
      </c>
      <c r="X5" s="1108">
        <f t="shared" si="2"/>
        <v>0</v>
      </c>
      <c r="Y5" s="1108">
        <f t="shared" si="2"/>
        <v>2.9408201416649016</v>
      </c>
      <c r="Z5" s="1108">
        <f t="shared" si="2"/>
        <v>3.1355755209873007E-2</v>
      </c>
      <c r="AA5" s="1108">
        <f t="shared" si="2"/>
        <v>3.1189218831493913E-2</v>
      </c>
      <c r="AB5" s="1108">
        <f t="shared" si="2"/>
        <v>0.26069583663079443</v>
      </c>
      <c r="AC5" s="1108">
        <f t="shared" si="2"/>
        <v>5.0425756444762042</v>
      </c>
      <c r="AD5" s="1108"/>
      <c r="AE5" s="1117">
        <f>SUM(D5:AC5)</f>
        <v>42.771468143234166</v>
      </c>
      <c r="AF5" s="1123">
        <f>'Procesy - AS IS'!AG4+'Procesy - ∆'!AG5</f>
        <v>4023.5894266638315</v>
      </c>
      <c r="AG5" s="1124">
        <f>AF5*'Procesy - AS IS'!AH4/'Procesy - AS IS'!AG4</f>
        <v>1361.8768273777541</v>
      </c>
      <c r="AH5" s="1125">
        <f>AF5*'Procesy - AS IS'!AI4/'Procesy - AS IS'!AG4</f>
        <v>883.70674132067609</v>
      </c>
      <c r="AI5" s="1116"/>
      <c r="AK5" s="232"/>
      <c r="AL5" s="233"/>
      <c r="AZ5"/>
    </row>
    <row r="6" spans="1:53" ht="60" x14ac:dyDescent="0.25">
      <c r="A6" s="148"/>
      <c r="B6" s="666"/>
      <c r="C6" s="1211" t="s">
        <v>1117</v>
      </c>
      <c r="D6" s="1108">
        <f>'Procesy - AS IS'!D5+'Procesy - ∆'!D7</f>
        <v>0.23749999999999999</v>
      </c>
      <c r="E6" s="1108">
        <f>'Procesy - AS IS'!E5+'Procesy - ∆'!E7</f>
        <v>0.51782141954182104</v>
      </c>
      <c r="F6" s="1108">
        <f>'Procesy - AS IS'!F5+'Procesy - ∆'!F7</f>
        <v>0.29296300899402872</v>
      </c>
      <c r="G6" s="1108">
        <f>'Procesy - AS IS'!G5+'Procesy - ∆'!G7</f>
        <v>7.7539878812739094</v>
      </c>
      <c r="H6" s="1108">
        <f>'Procesy - AS IS'!H5+'Procesy - ∆'!H7</f>
        <v>0</v>
      </c>
      <c r="I6" s="1108">
        <f>'Procesy - AS IS'!I5+'Procesy - ∆'!I7</f>
        <v>0</v>
      </c>
      <c r="J6" s="1108">
        <f>'Procesy - AS IS'!J5+'Procesy - ∆'!J7</f>
        <v>0</v>
      </c>
      <c r="K6" s="1108">
        <f>'Procesy - AS IS'!K5+'Procesy - ∆'!K7</f>
        <v>0</v>
      </c>
      <c r="L6" s="1108">
        <f>'Procesy - AS IS'!L5+'Procesy - ∆'!L7</f>
        <v>0.23101766119251196</v>
      </c>
      <c r="M6" s="1108">
        <f>'Procesy - AS IS'!M5+'Procesy - ∆'!M7</f>
        <v>0.77555831477557358</v>
      </c>
      <c r="N6" s="1108">
        <f>'Procesy - AS IS'!N5+'Procesy - ∆'!N7</f>
        <v>1.2</v>
      </c>
      <c r="O6" s="1108">
        <f>'Procesy - AS IS'!O5+'Procesy - ∆'!O7</f>
        <v>1.2000000000000002</v>
      </c>
      <c r="P6" s="1108">
        <f>'Procesy - AS IS'!P5+'Procesy - ∆'!P7</f>
        <v>3.3127263280547976</v>
      </c>
      <c r="Q6" s="1108">
        <f>'Procesy - AS IS'!Q5+'Procesy - ∆'!Q7</f>
        <v>0.32500000000000001</v>
      </c>
      <c r="R6" s="1108">
        <f>'Procesy - AS IS'!R5+'Procesy - ∆'!R7</f>
        <v>6.5155503081537809</v>
      </c>
      <c r="S6" s="1108">
        <f>'Procesy - AS IS'!S5+'Procesy - ∆'!S7</f>
        <v>8.4908260877361741</v>
      </c>
      <c r="T6" s="1108">
        <f>'Procesy - AS IS'!T5+'Procesy - ∆'!T7</f>
        <v>2.5295521850864016</v>
      </c>
      <c r="U6" s="1108">
        <f>'Procesy - AS IS'!U5+'Procesy - ∆'!U7</f>
        <v>2.2872089552646537</v>
      </c>
      <c r="V6" s="1108">
        <f>'Procesy - AS IS'!V5+'Procesy - ∆'!V7</f>
        <v>0.71316558951749376</v>
      </c>
      <c r="W6" s="1108">
        <f>'Procesy - AS IS'!W5+'Procesy - ∆'!W7</f>
        <v>0.34977792990865847</v>
      </c>
      <c r="X6" s="1108">
        <f>'Procesy - AS IS'!X5+'Procesy - ∆'!X7</f>
        <v>0.45</v>
      </c>
      <c r="Y6" s="1108">
        <f>'Procesy - AS IS'!Y5+'Procesy - ∆'!Y7</f>
        <v>2.7904908594769999</v>
      </c>
      <c r="Z6" s="1108">
        <f>'Procesy - AS IS'!Z5+'Procesy - ∆'!Z7</f>
        <v>2.7329851127823612E-2</v>
      </c>
      <c r="AA6" s="1108">
        <f>'Procesy - AS IS'!AA5+'Procesy - ∆'!AA7</f>
        <v>3.1721334272018356E-2</v>
      </c>
      <c r="AB6" s="1108">
        <f>'Procesy - AS IS'!AB5+'Procesy - ∆'!AB7</f>
        <v>0.24153707238323016</v>
      </c>
      <c r="AC6" s="1108">
        <f>'Procesy - AS IS'!AC5+'Procesy - ∆'!AC7</f>
        <v>5.8375271483750346</v>
      </c>
      <c r="AD6" s="1108">
        <f>Faktory!C51</f>
        <v>10</v>
      </c>
      <c r="AE6" s="1204">
        <f>SUM(D6:AD6)</f>
        <v>56.11126193513492</v>
      </c>
      <c r="AF6" s="1123">
        <f>'Procesy - AS IS'!AG5+'Procesy - ∆'!AG7</f>
        <v>3536.055295727198</v>
      </c>
      <c r="AG6" s="1124">
        <f>'Procesy - AS IS'!AH5+'Procesy - ∆'!AH7</f>
        <v>1414.4221182908793</v>
      </c>
      <c r="AH6" s="1125">
        <f>'Procesy - AS IS'!AI5+'Procesy - ∆'!AI7</f>
        <v>911.96826518138823</v>
      </c>
      <c r="AI6" s="1116"/>
      <c r="AK6"/>
      <c r="AL6" s="233"/>
      <c r="AZ6"/>
    </row>
    <row r="7" spans="1:53" x14ac:dyDescent="0.25">
      <c r="A7" s="148"/>
      <c r="B7" s="657" t="s">
        <v>532</v>
      </c>
      <c r="C7" s="658" t="s">
        <v>550</v>
      </c>
      <c r="D7" s="726">
        <f>D8*$AF8/($AF7-$AF14)+D9*$AF9/($AF7-$AF14)+D10*$AF10/($AF7-$AF14)+D11*$AF11/($AF7-$AF14)+D12*$AF12/($AF7-$AF14)+D13*$AF13/($AF7-$AF14)</f>
        <v>0</v>
      </c>
      <c r="E7" s="652">
        <f>E8*$AF8/($AF7-$AF14)+E9*$AF9/($AF7-$AF14)+E10*$AF10/($AF7-$AF14)+E11*$AF11/($AF7-$AF14)+E12*$AF12/($AF7-$AF14)+E13*$AF13/($AF7-$AF14)</f>
        <v>0</v>
      </c>
      <c r="F7" s="652">
        <f>F8*$AF8/($AF7-$AF14)+F9*$AF9/($AF7-$AF14)+F10*$AF10/($AF7-$AF14)+F11*$AF11/($AF7-$AF14)+F12*$AF12/($AF7-$AF14)+F13*$AF13/($AF7-$AF14)</f>
        <v>0.40704851526225294</v>
      </c>
      <c r="G7" s="653">
        <f>G8*$AF8/($AF7-$AF14)+G9*$AF9/($AF7-$AF14)+G10*$AF10/($AF7-$AF14)+G11*$AF11/($AF7-$AF14)+G12*$AF12/($AF7-$AF14)+G13*$AF13/($AF7-$AF14)</f>
        <v>8.3096080885936967</v>
      </c>
      <c r="H7" s="654"/>
      <c r="I7" s="654"/>
      <c r="J7" s="654"/>
      <c r="K7" s="654"/>
      <c r="L7" s="654"/>
      <c r="M7" s="652"/>
      <c r="N7" s="653">
        <f>N8*$AF8/($AF7-$AF14)+N9*$AF9/($AF7-$AF14)+N10*$AF10/($AF7-$AF14)+N11*$AF11/($AF7-$AF14)+N12*$AF12/($AF7-$AF14)+N13*$AF13/($AF7-$AF14)</f>
        <v>0</v>
      </c>
      <c r="O7" s="653"/>
      <c r="P7" s="653">
        <f t="shared" ref="P7:AC7" si="3">P8*$AF8/($AF7-$AF14)+P9*$AF9/($AF7-$AF14)+P10*$AF10/($AF7-$AF14)+P11*$AF11/($AF7-$AF14)+P12*$AF12/($AF7-$AF14)+P13*$AF13/($AF7-$AF14)</f>
        <v>6.2064989788477867</v>
      </c>
      <c r="Q7" s="653">
        <f t="shared" si="3"/>
        <v>0</v>
      </c>
      <c r="R7" s="653">
        <f t="shared" si="3"/>
        <v>10.636342075632955</v>
      </c>
      <c r="S7" s="653">
        <f t="shared" si="3"/>
        <v>11.978443011301351</v>
      </c>
      <c r="T7" s="652">
        <f t="shared" si="3"/>
        <v>3.0129353310689981</v>
      </c>
      <c r="U7" s="652">
        <f t="shared" si="3"/>
        <v>3.2799792042846203</v>
      </c>
      <c r="V7" s="652">
        <f t="shared" si="3"/>
        <v>3.4553809004368907</v>
      </c>
      <c r="W7" s="652">
        <f t="shared" si="3"/>
        <v>0.81423767846174933</v>
      </c>
      <c r="X7" s="652">
        <f t="shared" si="3"/>
        <v>0</v>
      </c>
      <c r="Y7" s="652">
        <f t="shared" si="3"/>
        <v>4.6084394155373918</v>
      </c>
      <c r="Z7" s="652">
        <f t="shared" si="3"/>
        <v>8.0106885971218275E-2</v>
      </c>
      <c r="AA7" s="652">
        <f t="shared" si="3"/>
        <v>3.1613474680579824E-2</v>
      </c>
      <c r="AB7" s="652">
        <f t="shared" si="3"/>
        <v>0.46729016816543989</v>
      </c>
      <c r="AC7" s="652">
        <f t="shared" si="3"/>
        <v>1.3084124708632316</v>
      </c>
      <c r="AD7" s="652"/>
      <c r="AE7" s="803">
        <f>SUM(AE8:AE14)</f>
        <v>325.0186632613312</v>
      </c>
      <c r="AF7" s="814">
        <f>SUM(AF8:AF14)</f>
        <v>933.62885555268792</v>
      </c>
      <c r="AG7" s="821">
        <f>SUM(AG8:AG14)</f>
        <v>380.2901012962032</v>
      </c>
      <c r="AH7" s="822">
        <f>SUM(AH8:AH14)</f>
        <v>271.49849710361445</v>
      </c>
      <c r="AI7" s="687">
        <f>SUM(AI8:AI14)</f>
        <v>31.162541779665908</v>
      </c>
      <c r="AK7" s="232"/>
      <c r="AZ7"/>
    </row>
    <row r="8" spans="1:53" ht="29.1" customHeight="1" x14ac:dyDescent="0.25">
      <c r="A8" s="148">
        <v>1</v>
      </c>
      <c r="B8" s="668" t="str">
        <f>'Procesy - AS IS'!B7</f>
        <v>Meranie č. 1</v>
      </c>
      <c r="C8" s="671" t="str">
        <f>'Procesy - AS IS'!C7</f>
        <v>AUTOGRAND, a.s., Zaobchádzanie so znečisťujúcimi látkami, 1045/2017</v>
      </c>
      <c r="D8" s="709">
        <f>'Procesy - AS IS'!D9+'Procesy - ∆'!D9</f>
        <v>0</v>
      </c>
      <c r="E8" s="669">
        <f>'Procesy - AS IS'!E9+'Procesy - ∆'!E9</f>
        <v>0</v>
      </c>
      <c r="F8" s="669">
        <f>'Procesy - AS IS'!F9+'Procesy - ∆'!F9</f>
        <v>0</v>
      </c>
      <c r="G8" s="669">
        <f>'Procesy - AS IS'!G9+'Procesy - ∆'!G9</f>
        <v>8.4</v>
      </c>
      <c r="H8" s="669" t="s">
        <v>555</v>
      </c>
      <c r="I8" s="669" t="s">
        <v>555</v>
      </c>
      <c r="J8" s="669" t="s">
        <v>555</v>
      </c>
      <c r="K8" s="669" t="s">
        <v>555</v>
      </c>
      <c r="L8" s="669" t="s">
        <v>555</v>
      </c>
      <c r="M8" s="669" t="s">
        <v>555</v>
      </c>
      <c r="N8" s="669">
        <f>'Procesy - AS IS'!N9+'Procesy - ∆'!N9</f>
        <v>0</v>
      </c>
      <c r="O8" s="669" t="s">
        <v>559</v>
      </c>
      <c r="P8" s="669">
        <f>'Procesy - AS IS'!P9+'Procesy - ∆'!P9</f>
        <v>8.8000000000000007</v>
      </c>
      <c r="Q8" s="669">
        <f>'Procesy - AS IS'!Q9+'Procesy - ∆'!Q9</f>
        <v>0</v>
      </c>
      <c r="R8" s="669">
        <f>'Procesy - AS IS'!R9+'Procesy - ∆'!R9</f>
        <v>5.2897959183673473</v>
      </c>
      <c r="S8" s="669">
        <f>'Procesy - AS IS'!S9+'Procesy - ∆'!S9</f>
        <v>9.1102040816326522</v>
      </c>
      <c r="T8" s="669">
        <f>'Procesy - AS IS'!T9+'Procesy - ∆'!T9</f>
        <v>3.5265306122448981</v>
      </c>
      <c r="U8" s="669">
        <f>'Procesy - AS IS'!U9+'Procesy - ∆'!U9</f>
        <v>3.5428571428571431</v>
      </c>
      <c r="V8" s="669">
        <f>'Procesy - AS IS'!V9+'Procesy - ∆'!V9</f>
        <v>4</v>
      </c>
      <c r="W8" s="669">
        <f>'Procesy - AS IS'!W9+'Procesy - ∆'!W9</f>
        <v>0.7142857142857143</v>
      </c>
      <c r="X8" s="669">
        <f>'Procesy - AS IS'!X9+'Procesy - ∆'!X9</f>
        <v>0</v>
      </c>
      <c r="Y8" s="669">
        <f>'Procesy - AS IS'!Y9+'Procesy - ∆'!Y9</f>
        <v>3.6734693877551021</v>
      </c>
      <c r="Z8" s="669">
        <f>'Procesy - AS IS'!Z9+'Procesy - ∆'!Z9</f>
        <v>0.12244897959183673</v>
      </c>
      <c r="AA8" s="669">
        <f>'Procesy - AS IS'!AA9+'Procesy - ∆'!AA9</f>
        <v>4.5918367346938771E-2</v>
      </c>
      <c r="AB8" s="669">
        <f>'Procesy - AS IS'!AB9+'Procesy - ∆'!AB9</f>
        <v>0.7142857142857143</v>
      </c>
      <c r="AC8" s="669">
        <f>'Procesy - AS IS'!AC9+'Procesy - ∆'!AC9</f>
        <v>2</v>
      </c>
      <c r="AD8" s="669"/>
      <c r="AE8" s="750">
        <f t="shared" ref="AE8:AE13" si="4">SUM(D8:AC8)</f>
        <v>49.939795918367352</v>
      </c>
      <c r="AF8" s="815">
        <f>'Procesy - AS IS'!AG9+'Procesy - ∆'!AG9</f>
        <v>322.86876034408783</v>
      </c>
      <c r="AG8" s="822">
        <f>'Procesy - AS IS'!AH9+'Procesy - ∆'!AH9</f>
        <v>118.60485073864452</v>
      </c>
      <c r="AH8" s="822">
        <f>'Procesy - AS IS'!AI9+'Procesy - ∆'!AI9</f>
        <v>82.364479679614249</v>
      </c>
      <c r="AI8" s="687">
        <f>'Procesy - AS IS'!AJ9+'Procesy - ∆'!AJ9</f>
        <v>16.47289593592285</v>
      </c>
      <c r="AK8" s="232"/>
      <c r="AZ8"/>
    </row>
    <row r="9" spans="1:53" ht="30.6" customHeight="1" x14ac:dyDescent="0.25">
      <c r="A9" s="148">
        <f ca="1">OFFSET(A9,-1,0)+1</f>
        <v>2</v>
      </c>
      <c r="B9" s="234" t="str">
        <f ca="1">'Procesy - AS IS'!B10</f>
        <v>Meranie č. 2</v>
      </c>
      <c r="C9" s="650" t="str">
        <f>'Procesy - AS IS'!C10</f>
        <v>ETI ELB, s.r.o. Báhoň, Nakladanie s vodami a prevádzku a účinnosť ČOV, 6419/2017</v>
      </c>
      <c r="D9" s="709">
        <f>'Procesy - AS IS'!D12+'Procesy - ∆'!D23</f>
        <v>0</v>
      </c>
      <c r="E9" s="653">
        <f>'Procesy - AS IS'!E12+'Procesy - ∆'!E23</f>
        <v>0</v>
      </c>
      <c r="F9" s="653">
        <f>'Procesy - AS IS'!F12+'Procesy - ∆'!F23</f>
        <v>0</v>
      </c>
      <c r="G9" s="653">
        <f>'Procesy - AS IS'!G12+'Procesy - ∆'!G23</f>
        <v>8.4</v>
      </c>
      <c r="H9" s="653" t="s">
        <v>555</v>
      </c>
      <c r="I9" s="653" t="s">
        <v>555</v>
      </c>
      <c r="J9" s="653" t="s">
        <v>555</v>
      </c>
      <c r="K9" s="653" t="s">
        <v>555</v>
      </c>
      <c r="L9" s="653" t="s">
        <v>555</v>
      </c>
      <c r="M9" s="653" t="s">
        <v>555</v>
      </c>
      <c r="N9" s="653">
        <f>'Procesy - AS IS'!N12+'Procesy - ∆'!N23</f>
        <v>0</v>
      </c>
      <c r="O9" s="653" t="s">
        <v>559</v>
      </c>
      <c r="P9" s="653">
        <f>'Procesy - AS IS'!P12+'Procesy - ∆'!P23</f>
        <v>8.8000000000000007</v>
      </c>
      <c r="Q9" s="653">
        <f>'Procesy - AS IS'!Q12+'Procesy - ∆'!Q23</f>
        <v>0</v>
      </c>
      <c r="R9" s="653">
        <f>'Procesy - AS IS'!R12+'Procesy - ∆'!R23</f>
        <v>5.2540540540540537</v>
      </c>
      <c r="S9" s="653">
        <f>'Procesy - AS IS'!S12+'Procesy - ∆'!S23</f>
        <v>9.1459459459459449</v>
      </c>
      <c r="T9" s="653">
        <f>'Procesy - AS IS'!T12+'Procesy - ∆'!T23</f>
        <v>3.5027027027027025</v>
      </c>
      <c r="U9" s="653">
        <f>'Procesy - AS IS'!U12+'Procesy - ∆'!U23</f>
        <v>3.5567567567567568</v>
      </c>
      <c r="V9" s="653">
        <f>'Procesy - AS IS'!V12+'Procesy - ∆'!V23</f>
        <v>4</v>
      </c>
      <c r="W9" s="653">
        <f>'Procesy - AS IS'!W12+'Procesy - ∆'!W23</f>
        <v>0.7189189189189189</v>
      </c>
      <c r="X9" s="653">
        <f>'Procesy - AS IS'!X12+'Procesy - ∆'!X23</f>
        <v>0</v>
      </c>
      <c r="Y9" s="653">
        <f>'Procesy - AS IS'!Y12+'Procesy - ∆'!Y23</f>
        <v>3.6972972972972968</v>
      </c>
      <c r="Z9" s="653">
        <f>'Procesy - AS IS'!Z12+'Procesy - ∆'!Z23</f>
        <v>0.11351351351351352</v>
      </c>
      <c r="AA9" s="653">
        <f>'Procesy - AS IS'!AA12+'Procesy - ∆'!AA23</f>
        <v>4.72972972972973E-2</v>
      </c>
      <c r="AB9" s="653">
        <f>'Procesy - AS IS'!AB12+'Procesy - ∆'!AB23</f>
        <v>0.66216216216216228</v>
      </c>
      <c r="AC9" s="653">
        <f>'Procesy - AS IS'!AC12+'Procesy - ∆'!AC23</f>
        <v>1.8540540540540542</v>
      </c>
      <c r="AD9" s="653"/>
      <c r="AE9" s="754">
        <f t="shared" si="4"/>
        <v>49.752702702702692</v>
      </c>
      <c r="AF9" s="815">
        <f>'Procesy - AS IS'!AG12+'Procesy - ∆'!AG23</f>
        <v>243.88624820055952</v>
      </c>
      <c r="AG9" s="822">
        <f>'Procesy - AS IS'!AH12+'Procesy - ∆'!AH23</f>
        <v>88.985522992096037</v>
      </c>
      <c r="AH9" s="822">
        <f>'Procesy - AS IS'!AI12+'Procesy - ∆'!AI23</f>
        <v>62.619442105549062</v>
      </c>
      <c r="AI9" s="687">
        <f>'Procesy - AS IS'!AJ12+'Procesy - ∆'!AJ23</f>
        <v>11.535160387864302</v>
      </c>
      <c r="AK9" s="232"/>
      <c r="AZ9"/>
    </row>
    <row r="10" spans="1:53" ht="30" x14ac:dyDescent="0.25">
      <c r="A10" s="148">
        <f ca="1">OFFSET(A10,-1,0)+1</f>
        <v>3</v>
      </c>
      <c r="B10" s="234" t="str">
        <f ca="1">'Procesy - AS IS'!B13</f>
        <v>Meranie č. 3</v>
      </c>
      <c r="C10" s="650" t="str">
        <f>'Procesy - AS IS'!C13</f>
        <v>BVS, a.s., Mimoriadne zhoršenie vôd, 053/015/2016/BA</v>
      </c>
      <c r="D10" s="709">
        <f>'Procesy - AS IS'!D15+'Procesy - ∆'!D37</f>
        <v>0</v>
      </c>
      <c r="E10" s="653">
        <f>'Procesy - AS IS'!E15+'Procesy - ∆'!E37</f>
        <v>0</v>
      </c>
      <c r="F10" s="653">
        <f>'Procesy - AS IS'!F15+'Procesy - ∆'!F37</f>
        <v>0</v>
      </c>
      <c r="G10" s="653">
        <f>'Procesy - AS IS'!G15+'Procesy - ∆'!G37</f>
        <v>8.0698996655518389</v>
      </c>
      <c r="H10" s="653" t="s">
        <v>555</v>
      </c>
      <c r="I10" s="653" t="s">
        <v>555</v>
      </c>
      <c r="J10" s="653" t="s">
        <v>555</v>
      </c>
      <c r="K10" s="653" t="s">
        <v>555</v>
      </c>
      <c r="L10" s="653" t="s">
        <v>555</v>
      </c>
      <c r="M10" s="653" t="s">
        <v>555</v>
      </c>
      <c r="N10" s="653">
        <f>'Procesy - AS IS'!N15+'Procesy - ∆'!N37</f>
        <v>0</v>
      </c>
      <c r="O10" s="653" t="s">
        <v>559</v>
      </c>
      <c r="P10" s="653">
        <f>'Procesy - AS IS'!P15+'Procesy - ∆'!P37</f>
        <v>2.2000000000000002</v>
      </c>
      <c r="Q10" s="653">
        <f>'Procesy - AS IS'!Q15+'Procesy - ∆'!Q37</f>
        <v>0</v>
      </c>
      <c r="R10" s="653">
        <f>'Procesy - AS IS'!R15+'Procesy - ∆'!R37</f>
        <v>24.408376963350783</v>
      </c>
      <c r="S10" s="653">
        <f>'Procesy - AS IS'!S15+'Procesy - ∆'!S37</f>
        <v>12.565445026178011</v>
      </c>
      <c r="T10" s="653">
        <f>'Procesy - AS IS'!T15+'Procesy - ∆'!T37</f>
        <v>2.0921465968586386</v>
      </c>
      <c r="U10" s="653">
        <f>'Procesy - AS IS'!U15+'Procesy - ∆'!U37</f>
        <v>2.3455497382198951</v>
      </c>
      <c r="V10" s="653">
        <f>'Procesy - AS IS'!V15+'Procesy - ∆'!V37</f>
        <v>0.25</v>
      </c>
      <c r="W10" s="653">
        <f>'Procesy - AS IS'!W15+'Procesy - ∆'!W37</f>
        <v>1.1434554973821989</v>
      </c>
      <c r="X10" s="653">
        <f>'Procesy - AS IS'!X15+'Procesy - ∆'!X37</f>
        <v>0</v>
      </c>
      <c r="Y10" s="653">
        <f>'Procesy - AS IS'!Y15+'Procesy - ∆'!Y37</f>
        <v>7.3507853403141352</v>
      </c>
      <c r="Z10" s="653">
        <f>'Procesy - AS IS'!Z15+'Procesy - ∆'!Z37</f>
        <v>0</v>
      </c>
      <c r="AA10" s="653">
        <f>'Procesy - AS IS'!AA15+'Procesy - ∆'!AA37</f>
        <v>0</v>
      </c>
      <c r="AB10" s="653">
        <f>'Procesy - AS IS'!AB15+'Procesy - ∆'!AB37</f>
        <v>0</v>
      </c>
      <c r="AC10" s="653">
        <f>'Procesy - AS IS'!AC15+'Procesy - ∆'!AC37</f>
        <v>0</v>
      </c>
      <c r="AD10" s="653"/>
      <c r="AE10" s="754">
        <f t="shared" si="4"/>
        <v>60.4256588278555</v>
      </c>
      <c r="AF10" s="815">
        <f>'Procesy - AS IS'!AG15/2+'Procesy - ∆'!AG37</f>
        <v>132.12458147436445</v>
      </c>
      <c r="AG10" s="822">
        <f>'Procesy - AS IS'!AH15/2+'Procesy - ∆'!AH37</f>
        <v>76.784442636934315</v>
      </c>
      <c r="AH10" s="822">
        <f>'Procesy - AS IS'!AI15/2+'Procesy - ∆'!AI37</f>
        <v>53.956635366494382</v>
      </c>
      <c r="AI10" s="687">
        <f>'Procesy - AS IS'!AJ15/2+'Procesy - ∆'!AJ37</f>
        <v>0</v>
      </c>
      <c r="AK10" s="232"/>
      <c r="AZ10"/>
    </row>
    <row r="11" spans="1:53" ht="45" x14ac:dyDescent="0.25">
      <c r="A11" s="148">
        <f ca="1">OFFSET(A11,-1,0)+1</f>
        <v>4</v>
      </c>
      <c r="B11" s="234" t="str">
        <f ca="1">'Procesy - AS IS'!B16</f>
        <v>Meranie č. 4</v>
      </c>
      <c r="C11" s="650" t="str">
        <f>'Procesy - AS IS'!C16</f>
        <v>TANYA TRANS, s.r.o. Ľuda Zúbka, 901 01 Malacky , Mimoriadne zhoršenie vôd, 109/012/2018/NR</v>
      </c>
      <c r="D11" s="709">
        <f>'Procesy - AS IS'!D18+'Procesy - ∆'!D51</f>
        <v>0</v>
      </c>
      <c r="E11" s="653">
        <f>'Procesy - AS IS'!E18+'Procesy - ∆'!E51</f>
        <v>0</v>
      </c>
      <c r="F11" s="653">
        <f>'Procesy - AS IS'!F18+'Procesy - ∆'!F51</f>
        <v>0</v>
      </c>
      <c r="G11" s="653">
        <f>'Procesy - AS IS'!G18+'Procesy - ∆'!G51</f>
        <v>7</v>
      </c>
      <c r="H11" s="653" t="s">
        <v>555</v>
      </c>
      <c r="I11" s="653" t="s">
        <v>555</v>
      </c>
      <c r="J11" s="653" t="s">
        <v>555</v>
      </c>
      <c r="K11" s="653" t="s">
        <v>555</v>
      </c>
      <c r="L11" s="653" t="s">
        <v>555</v>
      </c>
      <c r="M11" s="653" t="s">
        <v>555</v>
      </c>
      <c r="N11" s="653">
        <f>'Procesy - AS IS'!N18+'Procesy - ∆'!N51</f>
        <v>0</v>
      </c>
      <c r="O11" s="653" t="s">
        <v>559</v>
      </c>
      <c r="P11" s="653">
        <f>'Procesy - AS IS'!P18+'Procesy - ∆'!P51</f>
        <v>2.2000000000000002</v>
      </c>
      <c r="Q11" s="653">
        <f>'Procesy - AS IS'!Q18+'Procesy - ∆'!Q51</f>
        <v>0</v>
      </c>
      <c r="R11" s="653">
        <f>'Procesy - AS IS'!R18+'Procesy - ∆'!R51</f>
        <v>24.408376963350783</v>
      </c>
      <c r="S11" s="653">
        <f>'Procesy - AS IS'!S18+'Procesy - ∆'!S51</f>
        <v>17.591623036649214</v>
      </c>
      <c r="T11" s="653">
        <f>'Procesy - AS IS'!T18+'Procesy - ∆'!T51</f>
        <v>2.7895287958115182</v>
      </c>
      <c r="U11" s="653">
        <f>'Procesy - AS IS'!U18+'Procesy - ∆'!U51</f>
        <v>2.3455497382198951</v>
      </c>
      <c r="V11" s="653">
        <f>'Procesy - AS IS'!V18+'Procesy - ∆'!V51</f>
        <v>4</v>
      </c>
      <c r="W11" s="653">
        <f>'Procesy - AS IS'!W18+'Procesy - ∆'!W51</f>
        <v>1.1434554973821989</v>
      </c>
      <c r="X11" s="653">
        <f>'Procesy - AS IS'!X18+'Procesy - ∆'!X51</f>
        <v>0</v>
      </c>
      <c r="Y11" s="653">
        <f>'Procesy - AS IS'!Y18+'Procesy - ∆'!Y51</f>
        <v>7.3507853403141352</v>
      </c>
      <c r="Z11" s="653">
        <f>'Procesy - AS IS'!Z18+'Procesy - ∆'!Z51</f>
        <v>0</v>
      </c>
      <c r="AA11" s="653">
        <f>'Procesy - AS IS'!AA18+'Procesy - ∆'!AA51</f>
        <v>0</v>
      </c>
      <c r="AB11" s="653">
        <f>'Procesy - AS IS'!AB18+'Procesy - ∆'!AB51</f>
        <v>0</v>
      </c>
      <c r="AC11" s="653">
        <f>'Procesy - AS IS'!AC18+'Procesy - ∆'!AC51</f>
        <v>0</v>
      </c>
      <c r="AD11" s="653"/>
      <c r="AE11" s="754">
        <f t="shared" si="4"/>
        <v>68.829319371727735</v>
      </c>
      <c r="AF11" s="815">
        <f>'Procesy - AS IS'!AG15/2+'Procesy - ∆'!AG51</f>
        <v>135.18948153106552</v>
      </c>
      <c r="AG11" s="822">
        <f>'Procesy - AS IS'!AH15/2+'Procesy - ∆'!AH51</f>
        <v>78.565614921195163</v>
      </c>
      <c r="AH11" s="822">
        <f>'Procesy - AS IS'!AI15/2+'Procesy - ∆'!AI51</f>
        <v>55.208269944623623</v>
      </c>
      <c r="AI11" s="687">
        <f>'Procesy - AS IS'!AJ15/2+'Procesy - ∆'!AJ51</f>
        <v>0</v>
      </c>
      <c r="AK11" s="232"/>
      <c r="AZ11"/>
    </row>
    <row r="12" spans="1:53" ht="45" x14ac:dyDescent="0.25">
      <c r="A12" s="148">
        <f ca="1">OFFSET(A12,-1,0)+1</f>
        <v>5</v>
      </c>
      <c r="B12" s="234" t="str">
        <f ca="1">'Procesy - AS IS'!B19</f>
        <v>Meranie č. 5</v>
      </c>
      <c r="C12" s="650" t="str">
        <f>'Procesy - AS IS'!C19</f>
        <v>VOLKSWAGEN, SLOVAKIA, a.s., Prevencia závažných priemyselných havárií, 5220/2018</v>
      </c>
      <c r="D12" s="709">
        <f>'Procesy - AS IS'!D21+'Procesy - ∆'!D65</f>
        <v>0</v>
      </c>
      <c r="E12" s="653">
        <f>'Procesy - AS IS'!E21+'Procesy - ∆'!E65</f>
        <v>0</v>
      </c>
      <c r="F12" s="653">
        <f>'Procesy - AS IS'!F21+'Procesy - ∆'!F65</f>
        <v>4</v>
      </c>
      <c r="G12" s="653">
        <f>'Procesy - AS IS'!G21+'Procesy - ∆'!G65</f>
        <v>9.8000000000000007</v>
      </c>
      <c r="H12" s="653" t="s">
        <v>555</v>
      </c>
      <c r="I12" s="653" t="s">
        <v>555</v>
      </c>
      <c r="J12" s="653" t="s">
        <v>555</v>
      </c>
      <c r="K12" s="653" t="s">
        <v>555</v>
      </c>
      <c r="L12" s="653" t="s">
        <v>555</v>
      </c>
      <c r="M12" s="653" t="s">
        <v>555</v>
      </c>
      <c r="N12" s="653">
        <f>'Procesy - AS IS'!N21+'Procesy - ∆'!N65</f>
        <v>0</v>
      </c>
      <c r="O12" s="653" t="s">
        <v>559</v>
      </c>
      <c r="P12" s="653">
        <f>'Procesy - AS IS'!P21+'Procesy - ∆'!P65</f>
        <v>2.2000000000000002</v>
      </c>
      <c r="Q12" s="653">
        <f>'Procesy - AS IS'!Q21+'Procesy - ∆'!Q65</f>
        <v>0</v>
      </c>
      <c r="R12" s="653">
        <f>'Procesy - AS IS'!R21+'Procesy - ∆'!R65</f>
        <v>4.4745762711864403</v>
      </c>
      <c r="S12" s="653">
        <f>'Procesy - AS IS'!S21+'Procesy - ∆'!S65</f>
        <v>19.525423728813557</v>
      </c>
      <c r="T12" s="653">
        <f>'Procesy - AS IS'!T21+'Procesy - ∆'!T65</f>
        <v>1.7898305084745763</v>
      </c>
      <c r="U12" s="653">
        <f>'Procesy - AS IS'!U21+'Procesy - ∆'!U65</f>
        <v>4.5559322033898306</v>
      </c>
      <c r="V12" s="653">
        <f>'Procesy - AS IS'!V21+'Procesy - ∆'!V65</f>
        <v>4</v>
      </c>
      <c r="W12" s="653">
        <f>'Procesy - AS IS'!W21+'Procesy - ∆'!W65</f>
        <v>0.52203389830508473</v>
      </c>
      <c r="X12" s="653">
        <f>'Procesy - AS IS'!X21+'Procesy - ∆'!X65</f>
        <v>0</v>
      </c>
      <c r="Y12" s="653">
        <f>'Procesy - AS IS'!Y21+'Procesy - ∆'!Y65</f>
        <v>2.6847457627118647</v>
      </c>
      <c r="Z12" s="653">
        <f>'Procesy - AS IS'!Z21+'Procesy - ∆'!Z65</f>
        <v>8.1355932203389825E-2</v>
      </c>
      <c r="AA12" s="653">
        <f>'Procesy - AS IS'!AA21+'Procesy - ∆'!AA65</f>
        <v>3.3898305084745763E-2</v>
      </c>
      <c r="AB12" s="653">
        <f>'Procesy - AS IS'!AB21+'Procesy - ∆'!AB65</f>
        <v>0.47457627118644063</v>
      </c>
      <c r="AC12" s="653">
        <f>'Procesy - AS IS'!AC21+'Procesy - ∆'!AC65</f>
        <v>1.3288135593220338</v>
      </c>
      <c r="AD12" s="653"/>
      <c r="AE12" s="754">
        <f t="shared" si="4"/>
        <v>55.471186440677961</v>
      </c>
      <c r="AF12" s="815">
        <f>'Procesy - AS IS'!AG21+'Procesy - ∆'!AG65</f>
        <v>93.057320948423353</v>
      </c>
      <c r="AG12" s="822">
        <f>'Procesy - AS IS'!AH21+'Procesy - ∆'!AH65</f>
        <v>17.349670007333167</v>
      </c>
      <c r="AH12" s="822">
        <f>'Procesy - AS IS'!AI21+'Procesy - ∆'!AI65</f>
        <v>17.349670007333167</v>
      </c>
      <c r="AI12" s="687">
        <f>'Procesy - AS IS'!AJ21+'Procesy - ∆'!AJ65</f>
        <v>3.1544854558787581</v>
      </c>
      <c r="AK12" s="232"/>
      <c r="AZ12"/>
    </row>
    <row r="13" spans="1:53" ht="43.35" customHeight="1" x14ac:dyDescent="0.25">
      <c r="A13" s="148">
        <f ca="1">OFFSET(A13,-1,0)+1</f>
        <v>6</v>
      </c>
      <c r="B13" s="234" t="str">
        <f ca="1">'Procesy - AS IS'!B22</f>
        <v>Meranie č. 6</v>
      </c>
      <c r="C13" s="650" t="str">
        <f>'Procesy - AS IS'!C22</f>
        <v>ADDA spol.s.r.o, Slamkova14, 949 07 Nitra - Janíkovce, Chemický zákon, 7262/2018</v>
      </c>
      <c r="D13" s="709">
        <f>'Procesy - AS IS'!D24+'Procesy - ∆'!D79</f>
        <v>0</v>
      </c>
      <c r="E13" s="653">
        <f>'Procesy - AS IS'!E24+'Procesy - ∆'!E79</f>
        <v>0</v>
      </c>
      <c r="F13" s="653">
        <f>'Procesy - AS IS'!F24+'Procesy - ∆'!F79</f>
        <v>1.2</v>
      </c>
      <c r="G13" s="653">
        <f>'Procesy - AS IS'!G24+'Procesy - ∆'!G79</f>
        <v>11.2</v>
      </c>
      <c r="H13" s="653" t="s">
        <v>555</v>
      </c>
      <c r="I13" s="653" t="s">
        <v>555</v>
      </c>
      <c r="J13" s="653" t="s">
        <v>555</v>
      </c>
      <c r="K13" s="653" t="s">
        <v>555</v>
      </c>
      <c r="L13" s="653" t="s">
        <v>555</v>
      </c>
      <c r="M13" s="653" t="s">
        <v>555</v>
      </c>
      <c r="N13" s="653">
        <f>'Procesy - AS IS'!N24+'Procesy - ∆'!N79</f>
        <v>0</v>
      </c>
      <c r="O13" s="653" t="s">
        <v>559</v>
      </c>
      <c r="P13" s="653">
        <f>'Procesy - AS IS'!P24+'Procesy - ∆'!P79</f>
        <v>2.2000000000000002</v>
      </c>
      <c r="Q13" s="653">
        <f>'Procesy - AS IS'!Q24+'Procesy - ∆'!Q79</f>
        <v>0</v>
      </c>
      <c r="R13" s="653">
        <f>'Procesy - AS IS'!R24+'Procesy - ∆'!R79</f>
        <v>0</v>
      </c>
      <c r="S13" s="653">
        <f>'Procesy - AS IS'!S24+'Procesy - ∆'!S79</f>
        <v>24</v>
      </c>
      <c r="T13" s="653">
        <f>'Procesy - AS IS'!T24+'Procesy - ∆'!T79</f>
        <v>0</v>
      </c>
      <c r="U13" s="653">
        <f>'Procesy - AS IS'!U24+'Procesy - ∆'!U79</f>
        <v>0</v>
      </c>
      <c r="V13" s="653">
        <f>'Procesy - AS IS'!V24+'Procesy - ∆'!V79</f>
        <v>2</v>
      </c>
      <c r="W13" s="653">
        <f>'Procesy - AS IS'!W24+'Procesy - ∆'!W79</f>
        <v>0</v>
      </c>
      <c r="X13" s="653">
        <f>'Procesy - AS IS'!X24+'Procesy - ∆'!X79</f>
        <v>0</v>
      </c>
      <c r="Y13" s="653">
        <f>'Procesy - AS IS'!Y24+'Procesy - ∆'!Y79</f>
        <v>0</v>
      </c>
      <c r="Z13" s="653">
        <f>'Procesy - AS IS'!Z24+'Procesy - ∆'!Z79</f>
        <v>0</v>
      </c>
      <c r="AA13" s="653">
        <f>'Procesy - AS IS'!AA24+'Procesy - ∆'!AA79</f>
        <v>0</v>
      </c>
      <c r="AB13" s="653">
        <f>'Procesy - AS IS'!AB24+'Procesy - ∆'!AB79</f>
        <v>0</v>
      </c>
      <c r="AC13" s="653">
        <f>'Procesy - AS IS'!AC24+'Procesy - ∆'!AC79</f>
        <v>0</v>
      </c>
      <c r="AD13" s="653"/>
      <c r="AE13" s="754">
        <f t="shared" si="4"/>
        <v>40.599999999999994</v>
      </c>
      <c r="AF13" s="815">
        <f>'Procesy - AS IS'!AG24+'Procesy - ∆'!AG79</f>
        <v>6.5024630541871913</v>
      </c>
      <c r="AG13" s="822">
        <f>'Procesy - AS IS'!AH24+'Procesy - ∆'!AH79</f>
        <v>0</v>
      </c>
      <c r="AH13" s="822">
        <f>'Procesy - AS IS'!AI24+'Procesy - ∆'!AI79</f>
        <v>0</v>
      </c>
      <c r="AI13" s="687">
        <f>'Procesy - AS IS'!AJ24+'Procesy - ∆'!AJ79</f>
        <v>0</v>
      </c>
      <c r="AK13" s="232"/>
      <c r="AZ13"/>
    </row>
    <row r="14" spans="1:53" ht="15.75" thickBot="1" x14ac:dyDescent="0.3">
      <c r="A14" s="148"/>
      <c r="B14" s="741"/>
      <c r="C14" s="742" t="s">
        <v>588</v>
      </c>
      <c r="D14" s="743"/>
      <c r="E14" s="743"/>
      <c r="F14" s="743"/>
      <c r="G14" s="744"/>
      <c r="H14" s="744"/>
      <c r="I14" s="744"/>
      <c r="J14" s="744"/>
      <c r="K14" s="744"/>
      <c r="L14" s="744"/>
      <c r="M14" s="744"/>
      <c r="N14" s="744"/>
      <c r="O14" s="744"/>
      <c r="P14" s="744"/>
      <c r="Q14" s="744"/>
      <c r="R14" s="744"/>
      <c r="S14" s="744"/>
      <c r="T14" s="744"/>
      <c r="U14" s="744"/>
      <c r="V14" s="744"/>
      <c r="W14" s="744"/>
      <c r="X14" s="744"/>
      <c r="Y14" s="744"/>
      <c r="Z14" s="744"/>
      <c r="AA14" s="744"/>
      <c r="AB14" s="744"/>
      <c r="AC14" s="744"/>
      <c r="AD14" s="744"/>
      <c r="AE14" s="751"/>
      <c r="AF14" s="934">
        <f>'Procesy - AS IS'!AG25+'Procesy - ∆'!AG93</f>
        <v>0</v>
      </c>
      <c r="AG14" s="935">
        <f>'Procesy - AS IS'!AH25+'Procesy - ∆'!AH93</f>
        <v>0</v>
      </c>
      <c r="AH14" s="935">
        <f>'Procesy - AS IS'!AI25+'Procesy - ∆'!AI93</f>
        <v>0</v>
      </c>
      <c r="AI14" s="936">
        <f>'Procesy - AS IS'!AJ25+'Procesy - ∆'!AJ93</f>
        <v>0</v>
      </c>
      <c r="AK14" s="232"/>
      <c r="AZ14"/>
    </row>
    <row r="15" spans="1:53" x14ac:dyDescent="0.25">
      <c r="A15" s="148"/>
      <c r="B15" s="657" t="s">
        <v>533</v>
      </c>
      <c r="C15" s="658" t="s">
        <v>514</v>
      </c>
      <c r="D15" s="726">
        <f>D16*$AF16/($AF15-$AF23)+D17*$AF17/($AF15-$AF23)+D18*$AF18/($AF15-$AF23)+D19*$AF19/($AF15-$AF23)+D20*$AF20/($AF15-$AF23)+D21*$AF21/($AF15-$AF23)+D22*$AF22/($AF15-$AF23)</f>
        <v>0</v>
      </c>
      <c r="E15" s="651">
        <f>E16*$AF16/($AF15-$AF23)+E17*$AF17/($AF15-$AF23)+E18*$AF18/($AF15-$AF23)+E19*$AF19/($AF15-$AF23)+E20*$AF20/($AF15-$AF23)+E21*$AF21/($AF15-$AF23)+E22*$AF22/($AF15-$AF23)</f>
        <v>0</v>
      </c>
      <c r="F15" s="651">
        <f>F16*$AF16/($AF15-$AF23)+F17*$AF17/($AF15-$AF23)+F18*$AF18/($AF15-$AF23)+F19*$AF19/($AF15-$AF23)+F20*$AF20/($AF15-$AF23)+F21*$AF21/($AF15-$AF23)+F22*$AF22/($AF15-$AF23)</f>
        <v>0</v>
      </c>
      <c r="G15" s="661">
        <f>G16*$AF16/($AF15-$AF23)+G17*$AF17/($AF15-$AF23)+G18*$AF18/($AF15-$AF23)+G19*$AF19/($AF15-$AF23)+G20*$AF20/($AF15-$AF23)+G21*$AF21/($AF15-$AF23)+G22*$AF22/($AF15-$AF23)</f>
        <v>6.4105050618828905</v>
      </c>
      <c r="H15" s="654"/>
      <c r="I15" s="654"/>
      <c r="J15" s="654"/>
      <c r="K15" s="654"/>
      <c r="L15" s="661">
        <f>L16*$AF16/($AF15-$AF23)+L17*$AF17/($AF15-$AF23)+L18*$AF18/($AF15-$AF23)+L19*$AF19/($AF15-$AF23)+L20*$AF20/($AF15-$AF23)+L21*$AF21/($AF15-$AF23)+L22*$AF22/($AF15-$AF23)</f>
        <v>0.14999999999999997</v>
      </c>
      <c r="M15" s="661">
        <f>M16*$AF16/($AF15-$AF23)+M17*$AF17/($AF15-$AF23)+M18*$AF18/($AF15-$AF23)+M19*$AF19/($AF15-$AF23)+M20*$AF20/($AF15-$AF23)+M21*$AF21/($AF15-$AF23)+M22*$AF22/($AF15-$AF23)</f>
        <v>2.3176091149463112</v>
      </c>
      <c r="N15" s="651">
        <f>N16*$AF16/($AF15-$AF23)+N17*$AF17/($AF15-$AF23)+N18*$AF18/($AF15-$AF23)+N19*$AF19/($AF15-$AF23)+N20*$AF20/($AF15-$AF23)+N21*$AF21/($AF15-$AF23)+N22*$AF22/($AF15-$AF23)</f>
        <v>0</v>
      </c>
      <c r="O15" s="651"/>
      <c r="P15" s="651">
        <f t="shared" ref="P15:AC15" si="5">P16*$AF16/($AF15-$AF23)+P17*$AF17/($AF15-$AF23)+P18*$AF18/($AF15-$AF23)+P19*$AF19/($AF15-$AF23)+P20*$AF20/($AF15-$AF23)+P21*$AF21/($AF15-$AF23)+P22*$AF22/($AF15-$AF23)</f>
        <v>0.54999999999999993</v>
      </c>
      <c r="Q15" s="651">
        <f t="shared" si="5"/>
        <v>0</v>
      </c>
      <c r="R15" s="651">
        <f t="shared" si="5"/>
        <v>2.2071935266362095</v>
      </c>
      <c r="S15" s="651">
        <f t="shared" si="5"/>
        <v>8.3216956823673875</v>
      </c>
      <c r="T15" s="651">
        <f t="shared" si="5"/>
        <v>0.75708022403139297</v>
      </c>
      <c r="U15" s="651">
        <f t="shared" si="5"/>
        <v>4.7167397386300411</v>
      </c>
      <c r="V15" s="651">
        <f t="shared" si="5"/>
        <v>0.3691874289323735</v>
      </c>
      <c r="W15" s="651">
        <f t="shared" si="5"/>
        <v>0.19777278895465761</v>
      </c>
      <c r="X15" s="651">
        <f t="shared" si="5"/>
        <v>0</v>
      </c>
      <c r="Y15" s="651">
        <f t="shared" si="5"/>
        <v>1.3561562671176521</v>
      </c>
      <c r="Z15" s="651">
        <f t="shared" si="5"/>
        <v>2.382727394744534E-2</v>
      </c>
      <c r="AA15" s="651">
        <f t="shared" si="5"/>
        <v>3.9712123245742241E-2</v>
      </c>
      <c r="AB15" s="651">
        <f t="shared" si="5"/>
        <v>0.36932804621847709</v>
      </c>
      <c r="AC15" s="652">
        <f t="shared" si="5"/>
        <v>0.73112189832682106</v>
      </c>
      <c r="AD15" s="651"/>
      <c r="AE15" s="752">
        <f>SUM(AE16:AE22)</f>
        <v>196.61977881767353</v>
      </c>
      <c r="AF15" s="812">
        <f>SUM(AF16:AF23)</f>
        <v>823.81668935472453</v>
      </c>
      <c r="AG15" s="901">
        <f>SUM(AG16:AG23)</f>
        <v>159.26428184266675</v>
      </c>
      <c r="AH15" s="820">
        <v>175</v>
      </c>
      <c r="AI15" s="686">
        <v>19</v>
      </c>
      <c r="AK15" s="232"/>
      <c r="AZ15"/>
    </row>
    <row r="16" spans="1:53" ht="30" x14ac:dyDescent="0.25">
      <c r="A16" s="148">
        <f ca="1">OFFSET(A16,-3,0)+1</f>
        <v>7</v>
      </c>
      <c r="B16" s="668" t="str">
        <f ca="1">'Procesy - AS IS'!B27</f>
        <v>Meranie č. 7</v>
      </c>
      <c r="C16" s="671" t="str">
        <f>'Procesy - AS IS'!C27</f>
        <v>Modelovaný spis kontroly veľkého zdroja diskusiou s inšpektorom</v>
      </c>
      <c r="D16" s="709">
        <f>'Procesy - AS IS'!D29+'Procesy - ∆'!D95</f>
        <v>0</v>
      </c>
      <c r="E16" s="653">
        <f>'Procesy - AS IS'!E29+'Procesy - ∆'!E95</f>
        <v>0</v>
      </c>
      <c r="F16" s="653">
        <f>'Procesy - AS IS'!F29+'Procesy - ∆'!F95</f>
        <v>0</v>
      </c>
      <c r="G16" s="653">
        <f>'Procesy - AS IS'!G29+'Procesy - ∆'!G95</f>
        <v>8.4</v>
      </c>
      <c r="H16" s="653" t="s">
        <v>555</v>
      </c>
      <c r="I16" s="653" t="s">
        <v>555</v>
      </c>
      <c r="J16" s="653" t="s">
        <v>555</v>
      </c>
      <c r="K16" s="653" t="s">
        <v>555</v>
      </c>
      <c r="L16" s="653">
        <f>'Procesy - AS IS'!L29+'Procesy - ∆'!L95</f>
        <v>0.15</v>
      </c>
      <c r="M16" s="653">
        <f>'Procesy - AS IS'!M29+'Procesy - ∆'!M95</f>
        <v>2.1</v>
      </c>
      <c r="N16" s="653">
        <f>'Procesy - AS IS'!N29+'Procesy - ∆'!N95</f>
        <v>0</v>
      </c>
      <c r="O16" s="653" t="s">
        <v>559</v>
      </c>
      <c r="P16" s="653">
        <f>'Procesy - AS IS'!P29+'Procesy - ∆'!P95</f>
        <v>0.55000000000000004</v>
      </c>
      <c r="Q16" s="653">
        <f>'Procesy - AS IS'!Q29+'Procesy - ∆'!Q95</f>
        <v>0</v>
      </c>
      <c r="R16" s="653">
        <f>'Procesy - AS IS'!R29+'Procesy - ∆'!R95</f>
        <v>5.3485714285714288</v>
      </c>
      <c r="S16" s="653">
        <f>'Procesy - AS IS'!S29+'Procesy - ∆'!S95</f>
        <v>10.251428571428571</v>
      </c>
      <c r="T16" s="653">
        <f>'Procesy - AS IS'!T29+'Procesy - ∆'!T95</f>
        <v>1.6457142857142857</v>
      </c>
      <c r="U16" s="653">
        <f>'Procesy - AS IS'!U29+'Procesy - ∆'!U95</f>
        <v>3.6799999999999997</v>
      </c>
      <c r="V16" s="653">
        <f>'Procesy - AS IS'!V29+'Procesy - ∆'!V95</f>
        <v>0.25</v>
      </c>
      <c r="W16" s="653">
        <f>'Procesy - AS IS'!W29+'Procesy - ∆'!W95</f>
        <v>0.44</v>
      </c>
      <c r="X16" s="653">
        <f>'Procesy - AS IS'!X29+'Procesy - ∆'!X95</f>
        <v>0</v>
      </c>
      <c r="Y16" s="653">
        <f>'Procesy - AS IS'!Y29+'Procesy - ∆'!Y95</f>
        <v>3.0171428571428569</v>
      </c>
      <c r="Z16" s="653">
        <f>'Procesy - AS IS'!Z29+'Procesy - ∆'!Z95</f>
        <v>3.428571428571428E-2</v>
      </c>
      <c r="AA16" s="653">
        <f>'Procesy - AS IS'!AA29+'Procesy - ∆'!AA95</f>
        <v>5.7142857142857141E-2</v>
      </c>
      <c r="AB16" s="653">
        <f>'Procesy - AS IS'!AB29+'Procesy - ∆'!AB95</f>
        <v>0.8</v>
      </c>
      <c r="AC16" s="653">
        <f>'Procesy - AS IS'!AC29+'Procesy - ∆'!AC95</f>
        <v>1.3714285714285714</v>
      </c>
      <c r="AD16" s="653"/>
      <c r="AE16" s="754">
        <f t="shared" ref="AE16:AE22" si="6">SUM(D16:AC16)</f>
        <v>38.09571428571428</v>
      </c>
      <c r="AF16" s="815">
        <f>'Procesy - AS IS'!AG29+'Procesy - ∆'!AG95</f>
        <v>55.130873364082944</v>
      </c>
      <c r="AG16" s="822">
        <f>'Procesy - AS IS'!AH29+'Procesy - ∆'!AH95</f>
        <v>18.902013724828439</v>
      </c>
      <c r="AH16" s="822">
        <f>'Procesy - AS IS'!AI29+'Procesy - ∆'!AI95</f>
        <v>17.32684591442607</v>
      </c>
      <c r="AI16" s="687">
        <f>'Procesy - AS IS'!AJ29+'Procesy - ∆'!AJ95</f>
        <v>3.1503356208047397</v>
      </c>
      <c r="AK16" s="232"/>
      <c r="AZ16"/>
    </row>
    <row r="17" spans="1:52" ht="70.7" customHeight="1" x14ac:dyDescent="0.25">
      <c r="A17" s="148">
        <f t="shared" ref="A17:A22" ca="1" si="7">OFFSET(A17,-1,0)+1</f>
        <v>8</v>
      </c>
      <c r="B17" s="234" t="str">
        <f ca="1">'Procesy - AS IS'!B30</f>
        <v>Meranie č. 8</v>
      </c>
      <c r="C17" s="650" t="str">
        <f>'Procesy - AS IS'!C30</f>
        <v>TERMMING, a.s. Bratislava, Kotolňa Železničná - kotle na spaľovanie biomasy, 5809-24751/33/2018/Fia, Kontrola stredného zdroja, 5809-24751/33/2018/Fia</v>
      </c>
      <c r="D17" s="709">
        <f>'Procesy - AS IS'!D32+'Procesy - ∆'!D109</f>
        <v>0</v>
      </c>
      <c r="E17" s="653">
        <f>'Procesy - AS IS'!E32+'Procesy - ∆'!E109</f>
        <v>0</v>
      </c>
      <c r="F17" s="653">
        <f>'Procesy - AS IS'!F32+'Procesy - ∆'!F109</f>
        <v>0</v>
      </c>
      <c r="G17" s="653">
        <f>'Procesy - AS IS'!G32+'Procesy - ∆'!G109</f>
        <v>5.6</v>
      </c>
      <c r="H17" s="653" t="s">
        <v>555</v>
      </c>
      <c r="I17" s="653" t="s">
        <v>555</v>
      </c>
      <c r="J17" s="653" t="s">
        <v>555</v>
      </c>
      <c r="K17" s="653" t="s">
        <v>555</v>
      </c>
      <c r="L17" s="653">
        <f>'Procesy - AS IS'!L32+'Procesy - ∆'!L109</f>
        <v>0.15</v>
      </c>
      <c r="M17" s="653">
        <f>'Procesy - AS IS'!M32+'Procesy - ∆'!M109</f>
        <v>2.1</v>
      </c>
      <c r="N17" s="653">
        <f>'Procesy - AS IS'!N32+'Procesy - ∆'!N109</f>
        <v>0</v>
      </c>
      <c r="O17" s="653" t="s">
        <v>559</v>
      </c>
      <c r="P17" s="653">
        <f>'Procesy - AS IS'!P32+'Procesy - ∆'!P109</f>
        <v>0.55000000000000004</v>
      </c>
      <c r="Q17" s="653">
        <f>'Procesy - AS IS'!Q32+'Procesy - ∆'!Q109</f>
        <v>0</v>
      </c>
      <c r="R17" s="653">
        <f>'Procesy - AS IS'!R32+'Procesy - ∆'!R109</f>
        <v>5.4545454545454533</v>
      </c>
      <c r="S17" s="653">
        <f>'Procesy - AS IS'!S32+'Procesy - ∆'!S109</f>
        <v>10.145454545454545</v>
      </c>
      <c r="T17" s="653">
        <f>'Procesy - AS IS'!T32+'Procesy - ∆'!T109</f>
        <v>1.6783216783216781</v>
      </c>
      <c r="U17" s="653">
        <f>'Procesy - AS IS'!U32+'Procesy - ∆'!U109</f>
        <v>3.6419580419580422</v>
      </c>
      <c r="V17" s="653">
        <f>'Procesy - AS IS'!V32+'Procesy - ∆'!V109</f>
        <v>0.25</v>
      </c>
      <c r="W17" s="653">
        <f>'Procesy - AS IS'!W32+'Procesy - ∆'!W109</f>
        <v>0.44055944055944057</v>
      </c>
      <c r="X17" s="653">
        <f>'Procesy - AS IS'!X32+'Procesy - ∆'!X109</f>
        <v>0</v>
      </c>
      <c r="Y17" s="653">
        <f>'Procesy - AS IS'!Y32+'Procesy - ∆'!Y109</f>
        <v>3.0209790209790208</v>
      </c>
      <c r="Z17" s="653">
        <f>'Procesy - AS IS'!Z32+'Procesy - ∆'!Z109</f>
        <v>2.937062937062937E-2</v>
      </c>
      <c r="AA17" s="653">
        <f>'Procesy - AS IS'!AA32+'Procesy - ∆'!AA109</f>
        <v>4.8951048951048952E-2</v>
      </c>
      <c r="AB17" s="653">
        <f>'Procesy - AS IS'!AB32+'Procesy - ∆'!AB109</f>
        <v>0.68531468531468542</v>
      </c>
      <c r="AC17" s="653">
        <f>'Procesy - AS IS'!AC32+'Procesy - ∆'!AC109</f>
        <v>1.1748251748251748</v>
      </c>
      <c r="AD17" s="653"/>
      <c r="AE17" s="754">
        <f t="shared" si="6"/>
        <v>34.97027972027972</v>
      </c>
      <c r="AF17" s="815">
        <f>'Procesy - AS IS'!AG32/2+'Procesy - ∆'!AG109</f>
        <v>113.47135429685547</v>
      </c>
      <c r="AG17" s="822">
        <f>'Procesy - AS IS'!AH32/2+'Procesy - ∆'!AH109</f>
        <v>39.675298705194216</v>
      </c>
      <c r="AH17" s="822">
        <f>'Procesy - AS IS'!AI32/2+'Procesy - ∆'!AI109</f>
        <v>35.707768834674795</v>
      </c>
      <c r="AI17" s="687">
        <f>'Procesy - AS IS'!AJ32/2+'Procesy - ∆'!AJ109</f>
        <v>5.5545418187271904</v>
      </c>
      <c r="AK17" s="232"/>
      <c r="AZ17"/>
    </row>
    <row r="18" spans="1:52" ht="90" x14ac:dyDescent="0.25">
      <c r="A18" s="148">
        <f t="shared" ca="1" si="7"/>
        <v>9</v>
      </c>
      <c r="B18" s="234" t="str">
        <f ca="1">'Procesy - AS IS'!B33</f>
        <v>Meranie č. 9</v>
      </c>
      <c r="C18" s="650" t="str">
        <f>'Procesy - AS IS'!C33</f>
        <v>Nidec Global Appliance Slovakia, s.r.o., Zlaté Moravce - kontrola na základe vlastného kontrolného diskontinuálneho merania, nedodržanie EL, Kontrola stredného zdroja, 6423 - 23451/33/2018/Fia</v>
      </c>
      <c r="D18" s="709">
        <f>'Procesy - AS IS'!D35+'Procesy - ∆'!D123</f>
        <v>0</v>
      </c>
      <c r="E18" s="653">
        <f>'Procesy - AS IS'!E35+'Procesy - ∆'!E123</f>
        <v>0</v>
      </c>
      <c r="F18" s="653">
        <f>'Procesy - AS IS'!F35+'Procesy - ∆'!F123</f>
        <v>0</v>
      </c>
      <c r="G18" s="653">
        <f>'Procesy - AS IS'!G35+'Procesy - ∆'!G123</f>
        <v>5.6</v>
      </c>
      <c r="H18" s="653" t="s">
        <v>555</v>
      </c>
      <c r="I18" s="653" t="s">
        <v>555</v>
      </c>
      <c r="J18" s="653" t="s">
        <v>555</v>
      </c>
      <c r="K18" s="653" t="s">
        <v>555</v>
      </c>
      <c r="L18" s="653">
        <f>'Procesy - AS IS'!L35+'Procesy - ∆'!L123</f>
        <v>0.15</v>
      </c>
      <c r="M18" s="653">
        <f>'Procesy - AS IS'!M35+'Procesy - ∆'!M123</f>
        <v>2.1</v>
      </c>
      <c r="N18" s="653">
        <f>'Procesy - AS IS'!N35+'Procesy - ∆'!N123</f>
        <v>0</v>
      </c>
      <c r="O18" s="653" t="s">
        <v>559</v>
      </c>
      <c r="P18" s="653">
        <f>'Procesy - AS IS'!P35+'Procesy - ∆'!P123</f>
        <v>0.55000000000000004</v>
      </c>
      <c r="Q18" s="653">
        <f>'Procesy - AS IS'!Q35+'Procesy - ∆'!Q123</f>
        <v>0</v>
      </c>
      <c r="R18" s="653">
        <f>'Procesy - AS IS'!R35+'Procesy - ∆'!R123</f>
        <v>4.1958041958041949</v>
      </c>
      <c r="S18" s="653">
        <f>'Procesy - AS IS'!S35+'Procesy - ∆'!S123</f>
        <v>5.8531468531468533</v>
      </c>
      <c r="T18" s="653">
        <f>'Procesy - AS IS'!T35+'Procesy - ∆'!T123</f>
        <v>1.6783216783216781</v>
      </c>
      <c r="U18" s="653">
        <f>'Procesy - AS IS'!U35+'Procesy - ∆'!U123</f>
        <v>3.6419580419580422</v>
      </c>
      <c r="V18" s="653">
        <f>'Procesy - AS IS'!V35+'Procesy - ∆'!V123</f>
        <v>0.25</v>
      </c>
      <c r="W18" s="653">
        <f>'Procesy - AS IS'!W35+'Procesy - ∆'!W123</f>
        <v>0.44055944055944057</v>
      </c>
      <c r="X18" s="653">
        <f>'Procesy - AS IS'!X35+'Procesy - ∆'!X123</f>
        <v>0</v>
      </c>
      <c r="Y18" s="653">
        <f>'Procesy - AS IS'!Y35+'Procesy - ∆'!Y123</f>
        <v>3.0209790209790208</v>
      </c>
      <c r="Z18" s="653">
        <f>'Procesy - AS IS'!Z35+'Procesy - ∆'!Z123</f>
        <v>2.937062937062937E-2</v>
      </c>
      <c r="AA18" s="653">
        <f>'Procesy - AS IS'!AA35+'Procesy - ∆'!AA123</f>
        <v>4.8951048951048952E-2</v>
      </c>
      <c r="AB18" s="653">
        <f>'Procesy - AS IS'!AB35+'Procesy - ∆'!AB123</f>
        <v>0.58741258741258739</v>
      </c>
      <c r="AC18" s="653">
        <f>'Procesy - AS IS'!AC35+'Procesy - ∆'!AC123</f>
        <v>1.1748251748251748</v>
      </c>
      <c r="AD18" s="653"/>
      <c r="AE18" s="754">
        <f t="shared" si="6"/>
        <v>29.321328671328665</v>
      </c>
      <c r="AF18" s="815">
        <f>'Procesy - AS IS'!AG32/2+'Procesy - ∆'!AG123</f>
        <v>112.77200419752204</v>
      </c>
      <c r="AG18" s="822">
        <f>'Procesy - AS IS'!AH32/2+'Procesy - ∆'!AH123</f>
        <v>39.43077069843428</v>
      </c>
      <c r="AH18" s="822">
        <f>'Procesy - AS IS'!AI32/2+'Procesy - ∆'!AI123</f>
        <v>35.487693628590854</v>
      </c>
      <c r="AI18" s="687">
        <f>'Procesy - AS IS'!AJ32/2+'Procesy - ∆'!AJ123</f>
        <v>5.5203078977807989</v>
      </c>
      <c r="AK18" s="232"/>
      <c r="AZ18"/>
    </row>
    <row r="19" spans="1:52" ht="31.7" customHeight="1" x14ac:dyDescent="0.25">
      <c r="A19" s="148">
        <f t="shared" ca="1" si="7"/>
        <v>10</v>
      </c>
      <c r="B19" s="234" t="str">
        <f ca="1">'Procesy - AS IS'!B36</f>
        <v>Meranie č. 10</v>
      </c>
      <c r="C19" s="650" t="str">
        <f>'Procesy - AS IS'!C36</f>
        <v>BIO-plus, s.r.o., Kontrola kvality palív, 1020/2018</v>
      </c>
      <c r="D19" s="709">
        <f>'Procesy - AS IS'!D38+'Procesy - ∆'!D137</f>
        <v>0</v>
      </c>
      <c r="E19" s="653">
        <f>'Procesy - AS IS'!E38+'Procesy - ∆'!E137</f>
        <v>0</v>
      </c>
      <c r="F19" s="653">
        <f>'Procesy - AS IS'!F38+'Procesy - ∆'!F137</f>
        <v>0</v>
      </c>
      <c r="G19" s="653">
        <f>'Procesy - AS IS'!G38+'Procesy - ∆'!G137</f>
        <v>5.6</v>
      </c>
      <c r="H19" s="653" t="s">
        <v>555</v>
      </c>
      <c r="I19" s="653" t="s">
        <v>555</v>
      </c>
      <c r="J19" s="653" t="s">
        <v>555</v>
      </c>
      <c r="K19" s="653" t="s">
        <v>555</v>
      </c>
      <c r="L19" s="653">
        <f>'Procesy - AS IS'!L38+'Procesy - ∆'!L137</f>
        <v>0.15</v>
      </c>
      <c r="M19" s="653">
        <f>'Procesy - AS IS'!M38+'Procesy - ∆'!M137</f>
        <v>2.1</v>
      </c>
      <c r="N19" s="653">
        <f>'Procesy - AS IS'!N38+'Procesy - ∆'!N137</f>
        <v>0</v>
      </c>
      <c r="O19" s="653" t="s">
        <v>559</v>
      </c>
      <c r="P19" s="653">
        <f>'Procesy - AS IS'!P38+'Procesy - ∆'!P137</f>
        <v>0.55000000000000004</v>
      </c>
      <c r="Q19" s="653">
        <f>'Procesy - AS IS'!Q38+'Procesy - ∆'!Q137</f>
        <v>0</v>
      </c>
      <c r="R19" s="653">
        <f>'Procesy - AS IS'!R38+'Procesy - ∆'!R137</f>
        <v>0.35087719298245612</v>
      </c>
      <c r="S19" s="653">
        <f>'Procesy - AS IS'!S38+'Procesy - ∆'!S137</f>
        <v>8.7368421052631575</v>
      </c>
      <c r="T19" s="653">
        <f>'Procesy - AS IS'!T38+'Procesy - ∆'!T137</f>
        <v>0.14035087719298245</v>
      </c>
      <c r="U19" s="653">
        <f>'Procesy - AS IS'!U38+'Procesy - ∆'!U137</f>
        <v>5.4362573099415208</v>
      </c>
      <c r="V19" s="653">
        <f>'Procesy - AS IS'!V38+'Procesy - ∆'!V137</f>
        <v>0.5</v>
      </c>
      <c r="W19" s="653">
        <f>'Procesy - AS IS'!W38+'Procesy - ∆'!W137</f>
        <v>3.2748538011695902E-2</v>
      </c>
      <c r="X19" s="653">
        <f>'Procesy - AS IS'!X38+'Procesy - ∆'!X137</f>
        <v>0</v>
      </c>
      <c r="Y19" s="653">
        <f>'Procesy - AS IS'!Y38+'Procesy - ∆'!Y137</f>
        <v>0.22456140350877191</v>
      </c>
      <c r="Z19" s="653">
        <f>'Procesy - AS IS'!Z38+'Procesy - ∆'!Z137</f>
        <v>2.8070175438596488E-2</v>
      </c>
      <c r="AA19" s="653">
        <f>'Procesy - AS IS'!AA38+'Procesy - ∆'!AA137</f>
        <v>4.6783625730994149E-2</v>
      </c>
      <c r="AB19" s="653">
        <f>'Procesy - AS IS'!AB38+'Procesy - ∆'!AB137</f>
        <v>0.22456140350877191</v>
      </c>
      <c r="AC19" s="653">
        <f>'Procesy - AS IS'!AC38+'Procesy - ∆'!AC137</f>
        <v>0.56140350877192979</v>
      </c>
      <c r="AD19" s="653"/>
      <c r="AE19" s="754">
        <f t="shared" si="6"/>
        <v>24.68245614035088</v>
      </c>
      <c r="AF19" s="815">
        <f>'Procesy - AS IS'!AG38+'Procesy - ∆'!AG137</f>
        <v>265.11745681995876</v>
      </c>
      <c r="AG19" s="822">
        <f>'Procesy - AS IS'!AH38+'Procesy - ∆'!AH137</f>
        <v>7.7519724216362214</v>
      </c>
      <c r="AH19" s="822">
        <f>'Procesy - AS IS'!AI38+'Procesy - ∆'!AI137</f>
        <v>6.2015779373089766</v>
      </c>
      <c r="AI19" s="687">
        <f>'Procesy - AS IS'!AJ38+'Procesy - ∆'!AJ137</f>
        <v>6.2015779373089766</v>
      </c>
      <c r="AK19" s="232"/>
      <c r="AZ19"/>
    </row>
    <row r="20" spans="1:52" ht="60.6" customHeight="1" x14ac:dyDescent="0.25">
      <c r="A20" s="148">
        <f t="shared" ca="1" si="7"/>
        <v>11</v>
      </c>
      <c r="B20" s="234" t="str">
        <f ca="1">'Procesy - AS IS'!B39</f>
        <v>Meranie č. 11</v>
      </c>
      <c r="C20" s="650" t="str">
        <f>'Procesy - AS IS'!C39</f>
        <v>3U, s.r.o. Bratislava - výrobca regulovaných výrobkov, Kontrola kvality regulovaných výrobkov, 6765-25699/33/2018/Tom</v>
      </c>
      <c r="D20" s="709">
        <f>'Procesy - AS IS'!D41+'Procesy - ∆'!D151</f>
        <v>0</v>
      </c>
      <c r="E20" s="653">
        <f>'Procesy - AS IS'!E41+'Procesy - ∆'!E151</f>
        <v>0</v>
      </c>
      <c r="F20" s="653">
        <f>'Procesy - AS IS'!F41+'Procesy - ∆'!F151</f>
        <v>0</v>
      </c>
      <c r="G20" s="653">
        <f>'Procesy - AS IS'!G41+'Procesy - ∆'!G151</f>
        <v>5.6</v>
      </c>
      <c r="H20" s="653" t="s">
        <v>555</v>
      </c>
      <c r="I20" s="653" t="s">
        <v>555</v>
      </c>
      <c r="J20" s="653" t="s">
        <v>555</v>
      </c>
      <c r="K20" s="653" t="s">
        <v>555</v>
      </c>
      <c r="L20" s="653">
        <f>'Procesy - AS IS'!L41+'Procesy - ∆'!L151</f>
        <v>0.15</v>
      </c>
      <c r="M20" s="653">
        <f>'Procesy - AS IS'!M41+'Procesy - ∆'!M151</f>
        <v>2.1</v>
      </c>
      <c r="N20" s="653">
        <f>'Procesy - AS IS'!N41+'Procesy - ∆'!N151</f>
        <v>0</v>
      </c>
      <c r="O20" s="653" t="s">
        <v>559</v>
      </c>
      <c r="P20" s="653">
        <f>'Procesy - AS IS'!P41+'Procesy - ∆'!P151</f>
        <v>0.55000000000000004</v>
      </c>
      <c r="Q20" s="653">
        <f>'Procesy - AS IS'!Q41+'Procesy - ∆'!Q151</f>
        <v>0</v>
      </c>
      <c r="R20" s="653">
        <f>'Procesy - AS IS'!R41+'Procesy - ∆'!R151</f>
        <v>0</v>
      </c>
      <c r="S20" s="653">
        <f>'Procesy - AS IS'!S41+'Procesy - ∆'!S151</f>
        <v>4.8</v>
      </c>
      <c r="T20" s="653">
        <f>'Procesy - AS IS'!T41+'Procesy - ∆'!T151</f>
        <v>0</v>
      </c>
      <c r="U20" s="653">
        <f>'Procesy - AS IS'!U41+'Procesy - ∆'!U151</f>
        <v>5.6</v>
      </c>
      <c r="V20" s="653">
        <f>'Procesy - AS IS'!V41+'Procesy - ∆'!V151</f>
        <v>0.5</v>
      </c>
      <c r="W20" s="653">
        <f>'Procesy - AS IS'!W41+'Procesy - ∆'!W151</f>
        <v>0</v>
      </c>
      <c r="X20" s="653">
        <f>'Procesy - AS IS'!X41+'Procesy - ∆'!X151</f>
        <v>0</v>
      </c>
      <c r="Y20" s="653">
        <f>'Procesy - AS IS'!Y41+'Procesy - ∆'!Y151</f>
        <v>0</v>
      </c>
      <c r="Z20" s="653">
        <f>'Procesy - AS IS'!Z41+'Procesy - ∆'!Z151</f>
        <v>0</v>
      </c>
      <c r="AA20" s="653">
        <f>'Procesy - AS IS'!AA41+'Procesy - ∆'!AA151</f>
        <v>0</v>
      </c>
      <c r="AB20" s="653">
        <f>'Procesy - AS IS'!AB41+'Procesy - ∆'!AB151</f>
        <v>0</v>
      </c>
      <c r="AC20" s="653">
        <f>'Procesy - AS IS'!AC41+'Procesy - ∆'!AC151</f>
        <v>0</v>
      </c>
      <c r="AD20" s="653"/>
      <c r="AE20" s="754">
        <f t="shared" si="6"/>
        <v>19.299999999999997</v>
      </c>
      <c r="AF20" s="815">
        <f>'Procesy - AS IS'!AG41/2+'Procesy - ∆'!AG151</f>
        <v>27.279792746113991</v>
      </c>
      <c r="AG20" s="822">
        <f>'Procesy - AS IS'!AH41/2+'Procesy - ∆'!AH151</f>
        <v>0</v>
      </c>
      <c r="AH20" s="822">
        <f>'Procesy - AS IS'!AI41/2+'Procesy - ∆'!AI151</f>
        <v>0</v>
      </c>
      <c r="AI20" s="687">
        <f>'Procesy - AS IS'!AJ41/2+'Procesy - ∆'!AJ151</f>
        <v>0</v>
      </c>
      <c r="AK20" s="232"/>
      <c r="AZ20"/>
    </row>
    <row r="21" spans="1:52" ht="60.6" customHeight="1" x14ac:dyDescent="0.25">
      <c r="A21" s="148">
        <f t="shared" ca="1" si="7"/>
        <v>12</v>
      </c>
      <c r="B21" s="234" t="str">
        <f ca="1">'Procesy - AS IS'!B42</f>
        <v>Meranie č. 12</v>
      </c>
      <c r="C21" s="650" t="str">
        <f>'Procesy - AS IS'!C42</f>
        <v>Color de Luxe, s.r.o. Bratislava, Kontrola kvality regulovaných výrobkov, 4083-9829/33/2018/Tom</v>
      </c>
      <c r="D21" s="709">
        <f>'Procesy - AS IS'!D44+'Procesy - ∆'!D165</f>
        <v>0</v>
      </c>
      <c r="E21" s="653">
        <f>'Procesy - AS IS'!E44+'Procesy - ∆'!E165</f>
        <v>0</v>
      </c>
      <c r="F21" s="653">
        <f>'Procesy - AS IS'!F44+'Procesy - ∆'!F165</f>
        <v>0</v>
      </c>
      <c r="G21" s="653">
        <f>'Procesy - AS IS'!G44+'Procesy - ∆'!G165</f>
        <v>5.6</v>
      </c>
      <c r="H21" s="653" t="s">
        <v>555</v>
      </c>
      <c r="I21" s="653" t="s">
        <v>555</v>
      </c>
      <c r="J21" s="653" t="s">
        <v>555</v>
      </c>
      <c r="K21" s="653" t="s">
        <v>555</v>
      </c>
      <c r="L21" s="653">
        <f>'Procesy - AS IS'!L44+'Procesy - ∆'!L165</f>
        <v>0.15</v>
      </c>
      <c r="M21" s="653">
        <f>'Procesy - AS IS'!M44+'Procesy - ∆'!M165</f>
        <v>2.1</v>
      </c>
      <c r="N21" s="653">
        <f>'Procesy - AS IS'!N44+'Procesy - ∆'!N165</f>
        <v>0</v>
      </c>
      <c r="O21" s="653" t="s">
        <v>559</v>
      </c>
      <c r="P21" s="653">
        <f>'Procesy - AS IS'!P44+'Procesy - ∆'!P165</f>
        <v>0.55000000000000004</v>
      </c>
      <c r="Q21" s="653">
        <f>'Procesy - AS IS'!Q44+'Procesy - ∆'!Q165</f>
        <v>0</v>
      </c>
      <c r="R21" s="653">
        <f>'Procesy - AS IS'!R44+'Procesy - ∆'!R165</f>
        <v>0</v>
      </c>
      <c r="S21" s="653">
        <f>'Procesy - AS IS'!S44+'Procesy - ∆'!S165</f>
        <v>4.8</v>
      </c>
      <c r="T21" s="653">
        <f>'Procesy - AS IS'!T44+'Procesy - ∆'!T165</f>
        <v>0</v>
      </c>
      <c r="U21" s="653">
        <f>'Procesy - AS IS'!U44+'Procesy - ∆'!U165</f>
        <v>5.6</v>
      </c>
      <c r="V21" s="653">
        <f>'Procesy - AS IS'!V44+'Procesy - ∆'!V165</f>
        <v>0.5</v>
      </c>
      <c r="W21" s="653">
        <f>'Procesy - AS IS'!W44+'Procesy - ∆'!W165</f>
        <v>0</v>
      </c>
      <c r="X21" s="653">
        <f>'Procesy - AS IS'!X44+'Procesy - ∆'!X165</f>
        <v>0</v>
      </c>
      <c r="Y21" s="653">
        <f>'Procesy - AS IS'!Y44+'Procesy - ∆'!Y165</f>
        <v>0</v>
      </c>
      <c r="Z21" s="653">
        <f>'Procesy - AS IS'!Z44+'Procesy - ∆'!Z165</f>
        <v>0</v>
      </c>
      <c r="AA21" s="653">
        <f>'Procesy - AS IS'!AA44+'Procesy - ∆'!AA165</f>
        <v>0</v>
      </c>
      <c r="AB21" s="653">
        <f>'Procesy - AS IS'!AB44+'Procesy - ∆'!AB165</f>
        <v>0</v>
      </c>
      <c r="AC21" s="653">
        <f>'Procesy - AS IS'!AC44+'Procesy - ∆'!AC165</f>
        <v>0</v>
      </c>
      <c r="AD21" s="653"/>
      <c r="AE21" s="754">
        <f t="shared" si="6"/>
        <v>19.299999999999997</v>
      </c>
      <c r="AF21" s="815">
        <f>'Procesy - AS IS'!AG41/2+'Procesy - ∆'!AG165</f>
        <v>27.279792746113991</v>
      </c>
      <c r="AG21" s="822">
        <f>'Procesy - AS IS'!AH41/2+'Procesy - ∆'!AH165</f>
        <v>0</v>
      </c>
      <c r="AH21" s="822">
        <f>'Procesy - AS IS'!AI41/2+'Procesy - ∆'!AI165</f>
        <v>0</v>
      </c>
      <c r="AI21" s="687">
        <f>'Procesy - AS IS'!AJ41/2+'Procesy - ∆'!AJ165</f>
        <v>0</v>
      </c>
      <c r="AK21" s="232"/>
      <c r="AZ21"/>
    </row>
    <row r="22" spans="1:52" ht="71.099999999999994" customHeight="1" x14ac:dyDescent="0.25">
      <c r="A22" s="148">
        <f t="shared" ca="1" si="7"/>
        <v>13</v>
      </c>
      <c r="B22" s="668" t="str">
        <f ca="1">'Procesy - AS IS'!B45</f>
        <v>Meranie č. 13</v>
      </c>
      <c r="C22" s="671" t="str">
        <f>'Procesy - AS IS'!C45</f>
        <v>MAKOS, a.s. Bardejov, Kontrola emisie skleníkových plynov, kontrola: 4828-15367/53/2017/Kve
spravne konanie: 7490-33731/Ulb
odvolanie: 1110-2247/Šte</v>
      </c>
      <c r="D22" s="709">
        <f>'Procesy - AS IS'!D47+'Procesy - ∆'!D179</f>
        <v>0</v>
      </c>
      <c r="E22" s="653">
        <f>'Procesy - AS IS'!E47+'Procesy - ∆'!E179</f>
        <v>0</v>
      </c>
      <c r="F22" s="653">
        <f>'Procesy - AS IS'!F47+'Procesy - ∆'!F179</f>
        <v>0</v>
      </c>
      <c r="G22" s="653">
        <f>'Procesy - AS IS'!G47+'Procesy - ∆'!G179</f>
        <v>11.2</v>
      </c>
      <c r="H22" s="653" t="s">
        <v>555</v>
      </c>
      <c r="I22" s="653" t="s">
        <v>555</v>
      </c>
      <c r="J22" s="653" t="s">
        <v>555</v>
      </c>
      <c r="K22" s="653" t="s">
        <v>555</v>
      </c>
      <c r="L22" s="653">
        <f>'Procesy - AS IS'!L47+'Procesy - ∆'!L179</f>
        <v>0.15</v>
      </c>
      <c r="M22" s="653">
        <f>'Procesy - AS IS'!M47+'Procesy - ∆'!M179</f>
        <v>4.2</v>
      </c>
      <c r="N22" s="653">
        <f>'Procesy - AS IS'!N47+'Procesy - ∆'!N179</f>
        <v>0</v>
      </c>
      <c r="O22" s="653" t="s">
        <v>559</v>
      </c>
      <c r="P22" s="653">
        <f>'Procesy - AS IS'!P47+'Procesy - ∆'!P179</f>
        <v>0.55000000000000004</v>
      </c>
      <c r="Q22" s="653">
        <f>'Procesy - AS IS'!Q47+'Procesy - ∆'!Q179</f>
        <v>0</v>
      </c>
      <c r="R22" s="653">
        <f>'Procesy - AS IS'!R47+'Procesy - ∆'!R179</f>
        <v>0</v>
      </c>
      <c r="S22" s="653">
        <f>'Procesy - AS IS'!S47+'Procesy - ∆'!S179</f>
        <v>9</v>
      </c>
      <c r="T22" s="653">
        <f>'Procesy - AS IS'!T47+'Procesy - ∆'!T179</f>
        <v>0</v>
      </c>
      <c r="U22" s="653">
        <f>'Procesy - AS IS'!U47+'Procesy - ∆'!U179</f>
        <v>5.6</v>
      </c>
      <c r="V22" s="653">
        <f>'Procesy - AS IS'!V47+'Procesy - ∆'!V179</f>
        <v>0.25</v>
      </c>
      <c r="W22" s="653">
        <f>'Procesy - AS IS'!W47+'Procesy - ∆'!W179</f>
        <v>0</v>
      </c>
      <c r="X22" s="653">
        <f>'Procesy - AS IS'!X47+'Procesy - ∆'!X179</f>
        <v>0</v>
      </c>
      <c r="Y22" s="653">
        <f>'Procesy - AS IS'!Y47+'Procesy - ∆'!Y179</f>
        <v>0</v>
      </c>
      <c r="Z22" s="653">
        <f>'Procesy - AS IS'!Z47+'Procesy - ∆'!Z179</f>
        <v>0</v>
      </c>
      <c r="AA22" s="653">
        <f>'Procesy - AS IS'!AA47+'Procesy - ∆'!AA179</f>
        <v>0</v>
      </c>
      <c r="AB22" s="653">
        <f>'Procesy - AS IS'!AB47+'Procesy - ∆'!AB179</f>
        <v>0</v>
      </c>
      <c r="AC22" s="653">
        <f>'Procesy - AS IS'!AC47+'Procesy - ∆'!AC179</f>
        <v>0</v>
      </c>
      <c r="AD22" s="653"/>
      <c r="AE22" s="754">
        <f t="shared" si="6"/>
        <v>30.950000000000003</v>
      </c>
      <c r="AF22" s="815">
        <f>'Procesy - AS IS'!AG47+'Procesy - ∆'!AG179</f>
        <v>69.483037156704356</v>
      </c>
      <c r="AG22" s="822">
        <f>'Procesy - AS IS'!AH47+'Procesy - ∆'!AH179</f>
        <v>0</v>
      </c>
      <c r="AH22" s="822">
        <f>'Procesy - AS IS'!AI47+'Procesy - ∆'!AI179</f>
        <v>0</v>
      </c>
      <c r="AI22" s="687">
        <f>'Procesy - AS IS'!AJ47+'Procesy - ∆'!AJ179</f>
        <v>0</v>
      </c>
      <c r="AK22" s="232"/>
      <c r="AZ22"/>
    </row>
    <row r="23" spans="1:52" ht="15.75" thickBot="1" x14ac:dyDescent="0.3">
      <c r="A23" s="148"/>
      <c r="B23" s="741"/>
      <c r="C23" s="742" t="s">
        <v>588</v>
      </c>
      <c r="D23" s="743"/>
      <c r="E23" s="743"/>
      <c r="F23" s="743"/>
      <c r="G23" s="744"/>
      <c r="H23" s="744"/>
      <c r="I23" s="744"/>
      <c r="J23" s="744"/>
      <c r="K23" s="744"/>
      <c r="L23" s="744"/>
      <c r="M23" s="744"/>
      <c r="N23" s="744"/>
      <c r="O23" s="744"/>
      <c r="P23" s="744"/>
      <c r="Q23" s="744"/>
      <c r="R23" s="744"/>
      <c r="S23" s="744"/>
      <c r="T23" s="744"/>
      <c r="U23" s="744"/>
      <c r="V23" s="744"/>
      <c r="W23" s="744"/>
      <c r="X23" s="744"/>
      <c r="Y23" s="744"/>
      <c r="Z23" s="744"/>
      <c r="AA23" s="744"/>
      <c r="AB23" s="744"/>
      <c r="AC23" s="744"/>
      <c r="AD23" s="744"/>
      <c r="AE23" s="751"/>
      <c r="AF23" s="817">
        <f>'Procesy - AS IS'!AG48+'Procesy - ∆'!AG193</f>
        <v>153.28237802737294</v>
      </c>
      <c r="AG23" s="823">
        <f>'Procesy - AS IS'!AH48+'Procesy - ∆'!AH193</f>
        <v>53.504226292573577</v>
      </c>
      <c r="AH23" s="823">
        <f>'Procesy - AS IS'!AI48+'Procesy - ∆'!AI193</f>
        <v>47.719985612295353</v>
      </c>
      <c r="AI23" s="745">
        <f>'Procesy - AS IS'!AJ48+'Procesy - ∆'!AJ193</f>
        <v>8.6763610204173371</v>
      </c>
      <c r="AK23" s="232"/>
      <c r="AZ23"/>
    </row>
    <row r="24" spans="1:52" x14ac:dyDescent="0.25">
      <c r="A24" s="148"/>
      <c r="B24" s="657" t="str">
        <f>'Procesy - AS IS'!B49</f>
        <v>Zdroj 3</v>
      </c>
      <c r="C24" s="658" t="str">
        <f>'Procesy - AS IS'!C49</f>
        <v>Inšpekcia odpadového hospodárstva</v>
      </c>
      <c r="D24" s="726">
        <f>D25*$AF25/($AF24-$AF32)+D26*$AF26/($AF24-$AF32)+D27*$AF27/($AF24-$AF32)+D28*$AF28/($AF24-$AF32)+D29*$AF29/($AF24-$AF32)+D30*$AF30/($AF24-$AF32)+D31*$AF31/($AF24-$AF32)</f>
        <v>0</v>
      </c>
      <c r="E24" s="651">
        <f>E25*$AF25/($AF24-$AF32)+E26*$AF26/($AF24-$AF32)+E27*$AF27/($AF24-$AF32)+E28*$AF28/($AF24-$AF32)+E29*$AF29/($AF24-$AF32)+E30*$AF30/($AF24-$AF32)+E31*$AF31/($AF24-$AF32)</f>
        <v>0</v>
      </c>
      <c r="F24" s="651">
        <f>F25*$AF25/($AF24-$AF32)+F26*$AF26/($AF24-$AF32)+F27*$AF27/($AF24-$AF32)+F28*$AF28/($AF24-$AF32)+F29*$AF29/($AF24-$AF32)+F30*$AF30/($AF24-$AF32)+F31*$AF31/($AF24-$AF32)</f>
        <v>0</v>
      </c>
      <c r="G24" s="661">
        <f>G25*$AF25/($AF24-$AF32)+G26*$AF26/($AF24-$AF32)+G27*$AF27/($AF24-$AF32)+G28*$AF28/($AF24-$AF32)+G29*$AF29/($AF24-$AF32)+G30*$AF30/($AF24-$AF32)+G31*$AF31/($AF24-$AF32)</f>
        <v>6.9968195872678596</v>
      </c>
      <c r="H24" s="654"/>
      <c r="I24" s="654"/>
      <c r="J24" s="654"/>
      <c r="K24" s="654"/>
      <c r="L24" s="661">
        <f>L25*$AF25/($AF24-$AF32)+L26*$AF26/($AF24-$AF32)+L27*$AF27/($AF24-$AF32)+L28*$AF28/($AF24-$AF32)+L29*$AF29/($AF24-$AF32)+L30*$AF30/($AF24-$AF32)+L31*$AF31/($AF24-$AF32)</f>
        <v>0.15238944551689362</v>
      </c>
      <c r="M24" s="661">
        <f>M25*$AF25/($AF24-$AF32)+M26*$AF26/($AF24-$AF32)+M27*$AF27/($AF24-$AF32)+M28*$AF28/($AF24-$AF32)+M29*$AF29/($AF24-$AF32)+M30*$AF30/($AF24-$AF32)+M31*$AF31/($AF24-$AF32)</f>
        <v>1.582327253660053</v>
      </c>
      <c r="N24" s="661">
        <f>N25*$AF25/($AF24-$AF32)+N26*$AF26/($AF24-$AF32)+N27*$AF27/($AF24-$AF32)+N28*$AF28/($AF24-$AF32)+N29*$AF29/($AF24-$AF32)+N30*$AF30/($AF24-$AF32)+N31*$AF31/($AF24-$AF32)</f>
        <v>0</v>
      </c>
      <c r="O24" s="651"/>
      <c r="P24" s="651">
        <f t="shared" ref="P24:AC24" si="8">P25*$AF25/($AF24-$AF32)+P26*$AF26/($AF24-$AF32)+P27*$AF27/($AF24-$AF32)+P28*$AF28/($AF24-$AF32)+P29*$AF29/($AF24-$AF32)+P30*$AF30/($AF24-$AF32)+P31*$AF31/($AF24-$AF32)</f>
        <v>6.0621853518626354</v>
      </c>
      <c r="Q24" s="651">
        <f t="shared" si="8"/>
        <v>0</v>
      </c>
      <c r="R24" s="651">
        <f t="shared" si="8"/>
        <v>9.2316894058670531</v>
      </c>
      <c r="S24" s="651">
        <f t="shared" si="8"/>
        <v>17.995216722451982</v>
      </c>
      <c r="T24" s="651">
        <f t="shared" si="8"/>
        <v>4.2666267485214053</v>
      </c>
      <c r="U24" s="651">
        <f t="shared" si="8"/>
        <v>2.5693556784512332</v>
      </c>
      <c r="V24" s="651">
        <f t="shared" si="8"/>
        <v>0.27550334789998321</v>
      </c>
      <c r="W24" s="651">
        <f t="shared" si="8"/>
        <v>0.13531631064367547</v>
      </c>
      <c r="X24" s="651">
        <f t="shared" si="8"/>
        <v>0</v>
      </c>
      <c r="Y24" s="651">
        <f t="shared" si="8"/>
        <v>1.8603619398184428</v>
      </c>
      <c r="Z24" s="651">
        <f t="shared" si="8"/>
        <v>1.1755185994800306E-2</v>
      </c>
      <c r="AA24" s="651">
        <f t="shared" si="8"/>
        <v>1.6267390606010585E-2</v>
      </c>
      <c r="AB24" s="651">
        <f t="shared" si="8"/>
        <v>0.23718920938864665</v>
      </c>
      <c r="AC24" s="651">
        <f t="shared" si="8"/>
        <v>0.6254673502394551</v>
      </c>
      <c r="AD24" s="651"/>
      <c r="AE24" s="752">
        <f>SUM(AE25:AE31)</f>
        <v>415.04701202669969</v>
      </c>
      <c r="AF24" s="816">
        <f>SUM(AF25:AF32)</f>
        <v>769.18738694912849</v>
      </c>
      <c r="AG24" s="766">
        <f>SUM(AG25:AG32)</f>
        <v>205.19084604590677</v>
      </c>
      <c r="AH24" s="822">
        <v>175</v>
      </c>
      <c r="AI24" s="688">
        <v>19</v>
      </c>
      <c r="AK24" s="232"/>
      <c r="AZ24"/>
    </row>
    <row r="25" spans="1:52" ht="57" customHeight="1" x14ac:dyDescent="0.25">
      <c r="A25" s="148">
        <f ca="1">OFFSET(A25,-3,0)+1</f>
        <v>14</v>
      </c>
      <c r="B25" s="668" t="str">
        <f ca="1">'Procesy - AS IS'!B50</f>
        <v>Meranie č. 14</v>
      </c>
      <c r="C25" s="671" t="str">
        <f>'Procesy - AS IS'!C50</f>
        <v>Jozef Gregor, EKO TRANS, Pezinok, prevádzka Pod gaštanmi, Bratislava, Kontrola pôvodcov a držiteľov odpadov, 4087/2018</v>
      </c>
      <c r="D25" s="709">
        <f>'Procesy - AS IS'!D52+'Procesy - ∆'!D195</f>
        <v>0</v>
      </c>
      <c r="E25" s="653">
        <f>'Procesy - AS IS'!E52+'Procesy - ∆'!E195</f>
        <v>0</v>
      </c>
      <c r="F25" s="653">
        <f>'Procesy - AS IS'!F52+'Procesy - ∆'!F195</f>
        <v>0</v>
      </c>
      <c r="G25" s="653">
        <f>'Procesy - AS IS'!G52+'Procesy - ∆'!G195</f>
        <v>2.1</v>
      </c>
      <c r="H25" s="653" t="s">
        <v>555</v>
      </c>
      <c r="I25" s="653" t="s">
        <v>555</v>
      </c>
      <c r="J25" s="653" t="s">
        <v>555</v>
      </c>
      <c r="K25" s="653" t="s">
        <v>555</v>
      </c>
      <c r="L25" s="653">
        <f>'Procesy - AS IS'!L52+'Procesy - ∆'!L195</f>
        <v>0.3</v>
      </c>
      <c r="M25" s="653">
        <f>'Procesy - AS IS'!M52+'Procesy - ∆'!M195</f>
        <v>2.1</v>
      </c>
      <c r="N25" s="653">
        <f>'Procesy - AS IS'!N52+'Procesy - ∆'!N195</f>
        <v>0</v>
      </c>
      <c r="O25" s="653" t="s">
        <v>559</v>
      </c>
      <c r="P25" s="653">
        <f>'Procesy - AS IS'!P52+'Procesy - ∆'!P195</f>
        <v>4.4000000000000004</v>
      </c>
      <c r="Q25" s="653">
        <f>'Procesy - AS IS'!Q52+'Procesy - ∆'!Q195</f>
        <v>0</v>
      </c>
      <c r="R25" s="653">
        <f>'Procesy - AS IS'!R52+'Procesy - ∆'!R195</f>
        <v>5.5883298560043784</v>
      </c>
      <c r="S25" s="653">
        <f>'Procesy - AS IS'!S52+'Procesy - ∆'!S195</f>
        <v>12.411670143995622</v>
      </c>
      <c r="T25" s="653">
        <f>'Procesy - AS IS'!T52+'Procesy - ∆'!T195</f>
        <v>3.7255532373362521</v>
      </c>
      <c r="U25" s="653">
        <f>'Procesy - AS IS'!U52+'Procesy - ∆'!U195</f>
        <v>0.48267606115538531</v>
      </c>
      <c r="V25" s="653">
        <f>'Procesy - AS IS'!V52+'Procesy - ∆'!V195</f>
        <v>0.25</v>
      </c>
      <c r="W25" s="653">
        <f>'Procesy - AS IS'!W52+'Procesy - ∆'!W195</f>
        <v>0.19881656804733727</v>
      </c>
      <c r="X25" s="653">
        <f>'Procesy - AS IS'!X52+'Procesy - ∆'!X195</f>
        <v>0</v>
      </c>
      <c r="Y25" s="653">
        <f>'Procesy - AS IS'!Y52+'Procesy - ∆'!Y195</f>
        <v>2.2721893491124261</v>
      </c>
      <c r="Z25" s="653">
        <f>'Procesy - AS IS'!Z52+'Procesy - ∆'!Z195</f>
        <v>2.2189349112426034E-2</v>
      </c>
      <c r="AA25" s="653">
        <f>'Procesy - AS IS'!AA52+'Procesy - ∆'!AA195</f>
        <v>2.9585798816568046E-2</v>
      </c>
      <c r="AB25" s="653">
        <f>'Procesy - AS IS'!AB52+'Procesy - ∆'!AB195</f>
        <v>0.33136094674556216</v>
      </c>
      <c r="AC25" s="653">
        <f>'Procesy - AS IS'!AC52+'Procesy - ∆'!AC195</f>
        <v>0.88757396449704129</v>
      </c>
      <c r="AD25" s="653"/>
      <c r="AE25" s="754">
        <f t="shared" ref="AE25:AE31" si="9">SUM(D25:AC25)</f>
        <v>35.099945274823</v>
      </c>
      <c r="AF25" s="815">
        <f>'Procesy - AS IS'!AG52/2+'Procesy - ∆'!AG195</f>
        <v>119.68712565791391</v>
      </c>
      <c r="AG25" s="822">
        <f>'Procesy - AS IS'!AH52/2+'Procesy - ∆'!AH195</f>
        <v>37.158396538525999</v>
      </c>
      <c r="AH25" s="822">
        <f>'Procesy - AS IS'!AI52/2+'Procesy - ∆'!AI195</f>
        <v>22.662651012149379</v>
      </c>
      <c r="AI25" s="687">
        <f>'Procesy - AS IS'!AJ52/2+'Procesy - ∆'!AJ195</f>
        <v>3.5410392206483405</v>
      </c>
      <c r="AK25" s="232"/>
      <c r="AZ25"/>
    </row>
    <row r="26" spans="1:52" ht="56.1" customHeight="1" x14ac:dyDescent="0.25">
      <c r="A26" s="148">
        <f t="shared" ref="A26:A31" ca="1" si="10">OFFSET(A26,-1,0)+1</f>
        <v>15</v>
      </c>
      <c r="B26" s="234" t="str">
        <f ca="1">'Procesy - AS IS'!B53</f>
        <v>Meranie č. 15</v>
      </c>
      <c r="C26" s="650" t="str">
        <f>'Procesy - AS IS'!C53</f>
        <v>CARS Prešov, s.r.o., Prešov, prevádzka Strojnícka 19, Prešov, Kontrola pôvodcov a držiteľov odpadov, 8404/2017</v>
      </c>
      <c r="D26" s="709">
        <f>'Procesy - AS IS'!D55+'Procesy - ∆'!D209</f>
        <v>0</v>
      </c>
      <c r="E26" s="653">
        <f>'Procesy - AS IS'!E55+'Procesy - ∆'!E209</f>
        <v>0</v>
      </c>
      <c r="F26" s="653">
        <f>'Procesy - AS IS'!F55+'Procesy - ∆'!F209</f>
        <v>0</v>
      </c>
      <c r="G26" s="653">
        <f>'Procesy - AS IS'!G55+'Procesy - ∆'!G209</f>
        <v>2.1</v>
      </c>
      <c r="H26" s="653" t="s">
        <v>555</v>
      </c>
      <c r="I26" s="653" t="s">
        <v>555</v>
      </c>
      <c r="J26" s="653" t="s">
        <v>555</v>
      </c>
      <c r="K26" s="653" t="s">
        <v>555</v>
      </c>
      <c r="L26" s="653">
        <f>'Procesy - AS IS'!L55+'Procesy - ∆'!L209</f>
        <v>0</v>
      </c>
      <c r="M26" s="653">
        <f>'Procesy - AS IS'!M55+'Procesy - ∆'!M209</f>
        <v>0.52500000000000002</v>
      </c>
      <c r="N26" s="653">
        <f>'Procesy - AS IS'!N55+'Procesy - ∆'!N209</f>
        <v>0</v>
      </c>
      <c r="O26" s="653" t="s">
        <v>559</v>
      </c>
      <c r="P26" s="653">
        <f>'Procesy - AS IS'!P55+'Procesy - ∆'!P209</f>
        <v>1.1000000000000001</v>
      </c>
      <c r="Q26" s="653">
        <f>'Procesy - AS IS'!Q55+'Procesy - ∆'!Q209</f>
        <v>0</v>
      </c>
      <c r="R26" s="653">
        <f>'Procesy - AS IS'!R55+'Procesy - ∆'!R209</f>
        <v>3.7255532373362521</v>
      </c>
      <c r="S26" s="653">
        <f>'Procesy - AS IS'!S55+'Procesy - ∆'!S209</f>
        <v>8.2744467626637483</v>
      </c>
      <c r="T26" s="653">
        <f>'Procesy - AS IS'!T55+'Procesy - ∆'!T209</f>
        <v>3.7255532373362521</v>
      </c>
      <c r="U26" s="653">
        <f>'Procesy - AS IS'!U55+'Procesy - ∆'!U209</f>
        <v>0.48267606115538531</v>
      </c>
      <c r="V26" s="653">
        <f>'Procesy - AS IS'!V55+'Procesy - ∆'!V209</f>
        <v>0.25</v>
      </c>
      <c r="W26" s="653">
        <f>'Procesy - AS IS'!W55+'Procesy - ∆'!W209</f>
        <v>0.19881656804733727</v>
      </c>
      <c r="X26" s="653">
        <f>'Procesy - AS IS'!X55+'Procesy - ∆'!X209</f>
        <v>0</v>
      </c>
      <c r="Y26" s="653">
        <f>'Procesy - AS IS'!Y55+'Procesy - ∆'!Y209</f>
        <v>2.2721893491124261</v>
      </c>
      <c r="Z26" s="653">
        <f>'Procesy - AS IS'!Z55+'Procesy - ∆'!Z209</f>
        <v>1.1094674556213017E-2</v>
      </c>
      <c r="AA26" s="653">
        <f>'Procesy - AS IS'!AA55+'Procesy - ∆'!AA209</f>
        <v>1.4792899408284023E-2</v>
      </c>
      <c r="AB26" s="653">
        <f>'Procesy - AS IS'!AB55+'Procesy - ∆'!AB209</f>
        <v>0.33136094674556216</v>
      </c>
      <c r="AC26" s="653">
        <f>'Procesy - AS IS'!AC55+'Procesy - ∆'!AC209</f>
        <v>0.88757396449704129</v>
      </c>
      <c r="AD26" s="653"/>
      <c r="AE26" s="754">
        <f t="shared" si="9"/>
        <v>23.899057700858503</v>
      </c>
      <c r="AF26" s="815">
        <f>'Procesy - AS IS'!AG52/2+'Procesy - ∆'!AG209</f>
        <v>116.40151655827462</v>
      </c>
      <c r="AG26" s="822">
        <f>'Procesy - AS IS'!AH52/2+'Procesy - ∆'!AH209</f>
        <v>36.138337237044119</v>
      </c>
      <c r="AH26" s="822">
        <f>'Procesy - AS IS'!AI52/2+'Procesy - ∆'!AI209</f>
        <v>22.040523845353775</v>
      </c>
      <c r="AI26" s="687">
        <f>'Procesy - AS IS'!AJ52/2+'Procesy - ∆'!AJ209</f>
        <v>3.4438318508365273</v>
      </c>
      <c r="AK26" s="232"/>
      <c r="AZ26"/>
    </row>
    <row r="27" spans="1:52" ht="55.35" customHeight="1" x14ac:dyDescent="0.25">
      <c r="A27" s="148">
        <f t="shared" ca="1" si="10"/>
        <v>16</v>
      </c>
      <c r="B27" s="234" t="str">
        <f ca="1">'Procesy - AS IS'!B56</f>
        <v>Meranie č. 16</v>
      </c>
      <c r="C27" s="650" t="str">
        <f>'Procesy - AS IS'!C56</f>
        <v>Alfafin Plus, s.r.o., prevádzka Lehnice, Kontrola prevádzkovateľov zariadení na zber odpadov, 5566/2018
8159/2018</v>
      </c>
      <c r="D27" s="709">
        <f>'Procesy - AS IS'!D58+'Procesy - ∆'!D223</f>
        <v>0</v>
      </c>
      <c r="E27" s="653">
        <f>'Procesy - AS IS'!E58+'Procesy - ∆'!E223</f>
        <v>0</v>
      </c>
      <c r="F27" s="653">
        <f>'Procesy - AS IS'!F58+'Procesy - ∆'!F223</f>
        <v>0</v>
      </c>
      <c r="G27" s="653">
        <f>'Procesy - AS IS'!G58+'Procesy - ∆'!G223</f>
        <v>2.1</v>
      </c>
      <c r="H27" s="653" t="s">
        <v>555</v>
      </c>
      <c r="I27" s="653" t="s">
        <v>555</v>
      </c>
      <c r="J27" s="653" t="s">
        <v>555</v>
      </c>
      <c r="K27" s="653" t="s">
        <v>555</v>
      </c>
      <c r="L27" s="653">
        <f>'Procesy - AS IS'!L58+'Procesy - ∆'!L223</f>
        <v>0</v>
      </c>
      <c r="M27" s="653">
        <f>'Procesy - AS IS'!M58+'Procesy - ∆'!M223</f>
        <v>0</v>
      </c>
      <c r="N27" s="653">
        <f>'Procesy - AS IS'!N58+'Procesy - ∆'!N223</f>
        <v>0</v>
      </c>
      <c r="O27" s="653" t="s">
        <v>559</v>
      </c>
      <c r="P27" s="653">
        <f>'Procesy - AS IS'!P58+'Procesy - ∆'!P223</f>
        <v>1.1000000000000001</v>
      </c>
      <c r="Q27" s="653">
        <f>'Procesy - AS IS'!Q58+'Procesy - ∆'!Q223</f>
        <v>0</v>
      </c>
      <c r="R27" s="653">
        <f>'Procesy - AS IS'!R58+'Procesy - ∆'!R223</f>
        <v>4.6643545279383432</v>
      </c>
      <c r="S27" s="653">
        <f>'Procesy - AS IS'!S58+'Procesy - ∆'!S223</f>
        <v>7.3356454720616568</v>
      </c>
      <c r="T27" s="653">
        <f>'Procesy - AS IS'!T58+'Procesy - ∆'!T223</f>
        <v>4.6643545279383432</v>
      </c>
      <c r="U27" s="653">
        <f>'Procesy - AS IS'!U58+'Procesy - ∆'!U223</f>
        <v>0.42791265253693</v>
      </c>
      <c r="V27" s="653">
        <f>'Procesy - AS IS'!V58+'Procesy - ∆'!V223</f>
        <v>0.25</v>
      </c>
      <c r="W27" s="653">
        <f>'Procesy - AS IS'!W58+'Procesy - ∆'!W223</f>
        <v>0.25666666666666665</v>
      </c>
      <c r="X27" s="653">
        <f>'Procesy - AS IS'!X58+'Procesy - ∆'!X223</f>
        <v>0</v>
      </c>
      <c r="Y27" s="653">
        <f>'Procesy - AS IS'!Y58+'Procesy - ∆'!Y223</f>
        <v>2.9333333333333331</v>
      </c>
      <c r="Z27" s="653">
        <f>'Procesy - AS IS'!Z58+'Procesy - ∆'!Z223</f>
        <v>1.6666666666666666E-2</v>
      </c>
      <c r="AA27" s="653">
        <f>'Procesy - AS IS'!AA58+'Procesy - ∆'!AA223</f>
        <v>5.5555555555555558E-3</v>
      </c>
      <c r="AB27" s="653">
        <f>'Procesy - AS IS'!AB58+'Procesy - ∆'!AB223</f>
        <v>0.26666666666666666</v>
      </c>
      <c r="AC27" s="653">
        <f>'Procesy - AS IS'!AC58+'Procesy - ∆'!AC223</f>
        <v>0.66666666666666674</v>
      </c>
      <c r="AD27" s="653"/>
      <c r="AE27" s="754">
        <f t="shared" si="9"/>
        <v>24.687822736030828</v>
      </c>
      <c r="AF27" s="815">
        <f>'Procesy - AS IS'!AG58+'Procesy - ∆'!AG223</f>
        <v>61.766076275776591</v>
      </c>
      <c r="AG27" s="822">
        <f>'Procesy - AS IS'!AH58+'Procesy - ∆'!AH223</f>
        <v>24.0082397958253</v>
      </c>
      <c r="AH27" s="822">
        <f>'Procesy - AS IS'!AI58+'Procesy - ∆'!AI223</f>
        <v>15.098374200745388</v>
      </c>
      <c r="AI27" s="687">
        <f>'Procesy - AS IS'!AJ58+'Procesy - ∆'!AJ223</f>
        <v>1.3725794727950353</v>
      </c>
      <c r="AK27" s="232"/>
      <c r="AZ27"/>
    </row>
    <row r="28" spans="1:52" ht="55.35" customHeight="1" x14ac:dyDescent="0.25">
      <c r="A28" s="148">
        <f t="shared" ca="1" si="10"/>
        <v>17</v>
      </c>
      <c r="B28" s="234" t="str">
        <f ca="1">'Procesy - AS IS'!B59</f>
        <v>Meranie č. 17</v>
      </c>
      <c r="C28" s="650" t="str">
        <f>'Procesy - AS IS'!C59</f>
        <v>BIOPRODUKT Dunajský Klátov, s.r.o., Dunajský Klátov, Kontrola prevádzkovateľov zariadení na zhodnocovanie odpadov, 3572/2018
8182/2018</v>
      </c>
      <c r="D28" s="709">
        <f>'Procesy - AS IS'!D61+'Procesy - ∆'!D237</f>
        <v>0</v>
      </c>
      <c r="E28" s="653">
        <f>'Procesy - AS IS'!E61+'Procesy - ∆'!E237</f>
        <v>0</v>
      </c>
      <c r="F28" s="653">
        <f>'Procesy - AS IS'!F61+'Procesy - ∆'!F237</f>
        <v>0</v>
      </c>
      <c r="G28" s="653">
        <f>'Procesy - AS IS'!G61+'Procesy - ∆'!G237</f>
        <v>2.1</v>
      </c>
      <c r="H28" s="653" t="s">
        <v>555</v>
      </c>
      <c r="I28" s="653" t="s">
        <v>555</v>
      </c>
      <c r="J28" s="653" t="s">
        <v>555</v>
      </c>
      <c r="K28" s="653" t="s">
        <v>555</v>
      </c>
      <c r="L28" s="653">
        <f>'Procesy - AS IS'!L61+'Procesy - ∆'!L237</f>
        <v>0</v>
      </c>
      <c r="M28" s="653">
        <f>'Procesy - AS IS'!M61+'Procesy - ∆'!M237</f>
        <v>1.05</v>
      </c>
      <c r="N28" s="653">
        <f>'Procesy - AS IS'!N61+'Procesy - ∆'!N237</f>
        <v>0</v>
      </c>
      <c r="O28" s="653" t="s">
        <v>559</v>
      </c>
      <c r="P28" s="653">
        <f>'Procesy - AS IS'!P61+'Procesy - ∆'!P237</f>
        <v>1.1000000000000001</v>
      </c>
      <c r="Q28" s="653">
        <f>'Procesy - AS IS'!Q61+'Procesy - ∆'!Q237</f>
        <v>0</v>
      </c>
      <c r="R28" s="653">
        <f>'Procesy - AS IS'!R61+'Procesy - ∆'!R237</f>
        <v>3.4976878612716766</v>
      </c>
      <c r="S28" s="653">
        <f>'Procesy - AS IS'!S61+'Procesy - ∆'!S237</f>
        <v>6.9081286127167632</v>
      </c>
      <c r="T28" s="653">
        <f>'Procesy - AS IS'!T61+'Procesy - ∆'!T237</f>
        <v>0</v>
      </c>
      <c r="U28" s="653">
        <f>'Procesy - AS IS'!U61+'Procesy - ∆'!U237</f>
        <v>0.49596820809248554</v>
      </c>
      <c r="V28" s="653">
        <f>'Procesy - AS IS'!V61+'Procesy - ∆'!V237</f>
        <v>0.25</v>
      </c>
      <c r="W28" s="653">
        <f>'Procesy - AS IS'!W61+'Procesy - ∆'!W237</f>
        <v>0.18374999999999997</v>
      </c>
      <c r="X28" s="653">
        <f>'Procesy - AS IS'!X61+'Procesy - ∆'!X237</f>
        <v>0</v>
      </c>
      <c r="Y28" s="653">
        <f>'Procesy - AS IS'!Y61+'Procesy - ∆'!Y237</f>
        <v>2.0999999999999996</v>
      </c>
      <c r="Z28" s="653">
        <f>'Procesy - AS IS'!Z61+'Procesy - ∆'!Z237</f>
        <v>1.8750000000000003E-2</v>
      </c>
      <c r="AA28" s="653">
        <f>'Procesy - AS IS'!AA61+'Procesy - ∆'!AA237</f>
        <v>2.5000000000000001E-2</v>
      </c>
      <c r="AB28" s="653">
        <f>'Procesy - AS IS'!AB61+'Procesy - ∆'!AB237</f>
        <v>0.30000000000000004</v>
      </c>
      <c r="AC28" s="653">
        <f>'Procesy - AS IS'!AC61+'Procesy - ∆'!AC237</f>
        <v>0.75</v>
      </c>
      <c r="AD28" s="653"/>
      <c r="AE28" s="754">
        <f t="shared" si="9"/>
        <v>18.779284682080927</v>
      </c>
      <c r="AF28" s="815">
        <f>'Procesy - AS IS'!AG61+'Procesy - ∆'!AG237</f>
        <v>55.636726146023193</v>
      </c>
      <c r="AG28" s="822">
        <f>'Procesy - AS IS'!AH61+'Procesy - ∆'!AH237</f>
        <v>16.216658473486817</v>
      </c>
      <c r="AH28" s="822">
        <f>'Procesy - AS IS'!AI61+'Procesy - ∆'!AI237</f>
        <v>9.7364270755540581</v>
      </c>
      <c r="AI28" s="687">
        <f>'Procesy - AS IS'!AJ61+'Procesy - ∆'!AJ237</f>
        <v>1.3909181536505799</v>
      </c>
      <c r="AK28" s="232"/>
      <c r="AZ28"/>
    </row>
    <row r="29" spans="1:52" ht="45" customHeight="1" x14ac:dyDescent="0.25">
      <c r="A29" s="148">
        <f t="shared" ca="1" si="10"/>
        <v>18</v>
      </c>
      <c r="B29" s="234" t="str">
        <f ca="1">'Procesy - AS IS'!B62</f>
        <v>Meranie č. 18</v>
      </c>
      <c r="C29" s="650" t="str">
        <f>'Procesy - AS IS'!C62</f>
        <v>SLOVMAS, a.s., Bratislava, Kontrola povinností rozšírenej zodpovednosti výrobcov, 3970/2017</v>
      </c>
      <c r="D29" s="709">
        <f>'Procesy - AS IS'!D64+'Procesy - ∆'!D251</f>
        <v>0</v>
      </c>
      <c r="E29" s="653">
        <f>'Procesy - AS IS'!E64+'Procesy - ∆'!E251</f>
        <v>0</v>
      </c>
      <c r="F29" s="653">
        <f>'Procesy - AS IS'!F64+'Procesy - ∆'!F251</f>
        <v>0</v>
      </c>
      <c r="G29" s="653">
        <f>'Procesy - AS IS'!G64+'Procesy - ∆'!G251</f>
        <v>16.8</v>
      </c>
      <c r="H29" s="653" t="s">
        <v>555</v>
      </c>
      <c r="I29" s="653" t="s">
        <v>555</v>
      </c>
      <c r="J29" s="653" t="s">
        <v>555</v>
      </c>
      <c r="K29" s="653" t="s">
        <v>555</v>
      </c>
      <c r="L29" s="653">
        <f>'Procesy - AS IS'!L64+'Procesy - ∆'!L251</f>
        <v>0.3</v>
      </c>
      <c r="M29" s="653">
        <f>'Procesy - AS IS'!M64+'Procesy - ∆'!M251</f>
        <v>0</v>
      </c>
      <c r="N29" s="653">
        <f>'Procesy - AS IS'!N64+'Procesy - ∆'!N251</f>
        <v>0</v>
      </c>
      <c r="O29" s="653" t="s">
        <v>559</v>
      </c>
      <c r="P29" s="653">
        <f>'Procesy - AS IS'!P64+'Procesy - ∆'!P251</f>
        <v>22</v>
      </c>
      <c r="Q29" s="653">
        <f>'Procesy - AS IS'!Q64+'Procesy - ∆'!Q251</f>
        <v>0</v>
      </c>
      <c r="R29" s="653">
        <f>'Procesy - AS IS'!R64+'Procesy - ∆'!R251</f>
        <v>21.035085360935607</v>
      </c>
      <c r="S29" s="653">
        <f>'Procesy - AS IS'!S64+'Procesy - ∆'!S251</f>
        <v>38.964914639064389</v>
      </c>
      <c r="T29" s="653">
        <f>'Procesy - AS IS'!T64+'Procesy - ∆'!T251</f>
        <v>6.3105256082806829</v>
      </c>
      <c r="U29" s="653">
        <f>'Procesy - AS IS'!U64+'Procesy - ∆'!U251</f>
        <v>1.3637720123672539</v>
      </c>
      <c r="V29" s="653">
        <f>'Procesy - AS IS'!V64+'Procesy - ∆'!V251</f>
        <v>0.25</v>
      </c>
      <c r="W29" s="653">
        <f>'Procesy - AS IS'!W64+'Procesy - ∆'!W251</f>
        <v>0</v>
      </c>
      <c r="X29" s="653">
        <f>'Procesy - AS IS'!X64+'Procesy - ∆'!X251</f>
        <v>0</v>
      </c>
      <c r="Y29" s="653">
        <f>'Procesy - AS IS'!Y64+'Procesy - ∆'!Y251</f>
        <v>0</v>
      </c>
      <c r="Z29" s="653">
        <f>'Procesy - AS IS'!Z64+'Procesy - ∆'!Z251</f>
        <v>0</v>
      </c>
      <c r="AA29" s="653">
        <f>'Procesy - AS IS'!AA64+'Procesy - ∆'!AA251</f>
        <v>0</v>
      </c>
      <c r="AB29" s="653">
        <f>'Procesy - AS IS'!AB64+'Procesy - ∆'!AB251</f>
        <v>0</v>
      </c>
      <c r="AC29" s="653">
        <f>'Procesy - AS IS'!AC64+'Procesy - ∆'!AC251</f>
        <v>0</v>
      </c>
      <c r="AD29" s="653"/>
      <c r="AE29" s="754">
        <f t="shared" si="9"/>
        <v>107.02429762064793</v>
      </c>
      <c r="AF29" s="815">
        <f>'Procesy - AS IS'!AG64/2+'Procesy - ∆'!AG251</f>
        <v>62.421134108832625</v>
      </c>
      <c r="AG29" s="822">
        <f>'Procesy - AS IS'!AH64/2+'Procesy - ∆'!AH251</f>
        <v>21.883898071761724</v>
      </c>
      <c r="AH29" s="822">
        <f>'Procesy - AS IS'!AI64/2+'Procesy - ∆'!AI251</f>
        <v>13.064888534406828</v>
      </c>
      <c r="AI29" s="687">
        <f>'Procesy - AS IS'!AJ64/2+'Procesy - ∆'!AJ251</f>
        <v>1.4516542816007587</v>
      </c>
      <c r="AK29" s="232"/>
      <c r="AZ29"/>
    </row>
    <row r="30" spans="1:52" ht="45" x14ac:dyDescent="0.25">
      <c r="A30" s="148">
        <f t="shared" ca="1" si="10"/>
        <v>19</v>
      </c>
      <c r="B30" s="234" t="str">
        <f ca="1">'Procesy - AS IS'!B65</f>
        <v>Meranie č. 19</v>
      </c>
      <c r="C30" s="650" t="str">
        <f>'Procesy - AS IS'!C65</f>
        <v>ENVI-PACK, a.s., Bratislava, Kontrola povinností rozšírenej zodpovednosti výrobcov, 7209/2017</v>
      </c>
      <c r="D30" s="709">
        <f>'Procesy - AS IS'!D67+'Procesy - ∆'!D265</f>
        <v>0</v>
      </c>
      <c r="E30" s="653">
        <f>'Procesy - AS IS'!E67+'Procesy - ∆'!E265</f>
        <v>0</v>
      </c>
      <c r="F30" s="653">
        <f>'Procesy - AS IS'!F67+'Procesy - ∆'!F265</f>
        <v>0</v>
      </c>
      <c r="G30" s="653">
        <f>'Procesy - AS IS'!G67+'Procesy - ∆'!G265</f>
        <v>16.8</v>
      </c>
      <c r="H30" s="653" t="s">
        <v>555</v>
      </c>
      <c r="I30" s="653" t="s">
        <v>555</v>
      </c>
      <c r="J30" s="653" t="s">
        <v>555</v>
      </c>
      <c r="K30" s="653" t="s">
        <v>555</v>
      </c>
      <c r="L30" s="653">
        <f>'Procesy - AS IS'!L67+'Procesy - ∆'!L265</f>
        <v>0.3</v>
      </c>
      <c r="M30" s="653">
        <f>'Procesy - AS IS'!M67+'Procesy - ∆'!M265</f>
        <v>8.4</v>
      </c>
      <c r="N30" s="653">
        <f>'Procesy - AS IS'!N67+'Procesy - ∆'!N265</f>
        <v>0</v>
      </c>
      <c r="O30" s="653" t="s">
        <v>559</v>
      </c>
      <c r="P30" s="653">
        <f>'Procesy - AS IS'!P67+'Procesy - ∆'!P265</f>
        <v>22</v>
      </c>
      <c r="Q30" s="653">
        <f>'Procesy - AS IS'!Q67+'Procesy - ∆'!Q265</f>
        <v>0</v>
      </c>
      <c r="R30" s="653">
        <f>'Procesy - AS IS'!R67+'Procesy - ∆'!R265</f>
        <v>31.552628041403409</v>
      </c>
      <c r="S30" s="653">
        <f>'Procesy - AS IS'!S67+'Procesy - ∆'!S265</f>
        <v>58.447371958596584</v>
      </c>
      <c r="T30" s="653">
        <f>'Procesy - AS IS'!T67+'Procesy - ∆'!T265</f>
        <v>10.517542680467804</v>
      </c>
      <c r="U30" s="653">
        <f>'Procesy - AS IS'!U67+'Procesy - ∆'!U265</f>
        <v>18.18362683156338</v>
      </c>
      <c r="V30" s="653">
        <f>'Procesy - AS IS'!V67+'Procesy - ∆'!V265</f>
        <v>0.5</v>
      </c>
      <c r="W30" s="653">
        <f>'Procesy - AS IS'!W67+'Procesy - ∆'!W265</f>
        <v>0</v>
      </c>
      <c r="X30" s="653">
        <f>'Procesy - AS IS'!X67+'Procesy - ∆'!X265</f>
        <v>0</v>
      </c>
      <c r="Y30" s="653">
        <f>'Procesy - AS IS'!Y67+'Procesy - ∆'!Y265</f>
        <v>0</v>
      </c>
      <c r="Z30" s="653">
        <f>'Procesy - AS IS'!Z67+'Procesy - ∆'!Z265</f>
        <v>0</v>
      </c>
      <c r="AA30" s="653">
        <f>'Procesy - AS IS'!AA67+'Procesy - ∆'!AA265</f>
        <v>0</v>
      </c>
      <c r="AB30" s="653">
        <f>'Procesy - AS IS'!AB67+'Procesy - ∆'!AB265</f>
        <v>0</v>
      </c>
      <c r="AC30" s="653">
        <f>'Procesy - AS IS'!AC67+'Procesy - ∆'!AC265</f>
        <v>0</v>
      </c>
      <c r="AD30" s="653"/>
      <c r="AE30" s="754">
        <f t="shared" si="9"/>
        <v>166.70116951203119</v>
      </c>
      <c r="AF30" s="815">
        <f>'Procesy - AS IS'!AG64/2+'Procesy - ∆'!AG265</f>
        <v>61.262317654363791</v>
      </c>
      <c r="AG30" s="822">
        <f>'Procesy - AS IS'!AH64/2+'Procesy - ∆'!AH265</f>
        <v>21.477634687804912</v>
      </c>
      <c r="AH30" s="822">
        <f>'Procesy - AS IS'!AI64/2+'Procesy - ∆'!AI265</f>
        <v>12.822345555564514</v>
      </c>
      <c r="AI30" s="687">
        <f>'Procesy - AS IS'!AJ64/2+'Procesy - ∆'!AJ265</f>
        <v>1.4247050617293904</v>
      </c>
      <c r="AK30" s="232"/>
      <c r="AZ30"/>
    </row>
    <row r="31" spans="1:52" ht="84" customHeight="1" x14ac:dyDescent="0.25">
      <c r="A31" s="148">
        <f t="shared" ca="1" si="10"/>
        <v>20</v>
      </c>
      <c r="B31" s="668" t="str">
        <f ca="1">'Procesy - AS IS'!B68</f>
        <v>Meranie č. 20</v>
      </c>
      <c r="C31" s="671" t="str">
        <f>'Procesy - AS IS'!C68</f>
        <v>HANYX s.r.o. Lučenec, Podnet - subjekt vykonáva mobilný zber a prepravu komunálneho odpadu bez zmluvy s mestom (Kontrola obcí pri nakladaní s komunálnym odpadom), 8212-36652/44/2017/Kov</v>
      </c>
      <c r="D31" s="709">
        <f>'Procesy - AS IS'!D70+'Procesy - ∆'!D279</f>
        <v>0</v>
      </c>
      <c r="E31" s="653">
        <f>'Procesy - AS IS'!E70+'Procesy - ∆'!E279</f>
        <v>0</v>
      </c>
      <c r="F31" s="653">
        <f>'Procesy - AS IS'!F70+'Procesy - ∆'!F279</f>
        <v>0</v>
      </c>
      <c r="G31" s="653">
        <f>'Procesy - AS IS'!G70+'Procesy - ∆'!G279</f>
        <v>11.2</v>
      </c>
      <c r="H31" s="653" t="s">
        <v>555</v>
      </c>
      <c r="I31" s="653" t="s">
        <v>555</v>
      </c>
      <c r="J31" s="653" t="s">
        <v>555</v>
      </c>
      <c r="K31" s="653" t="s">
        <v>555</v>
      </c>
      <c r="L31" s="653">
        <f>'Procesy - AS IS'!L70+'Procesy - ∆'!L279</f>
        <v>0.15</v>
      </c>
      <c r="M31" s="653">
        <f>'Procesy - AS IS'!M70+'Procesy - ∆'!M279</f>
        <v>0.52500000000000002</v>
      </c>
      <c r="N31" s="653">
        <f>'Procesy - AS IS'!N70+'Procesy - ∆'!N279</f>
        <v>0</v>
      </c>
      <c r="O31" s="653" t="s">
        <v>559</v>
      </c>
      <c r="P31" s="653">
        <f>'Procesy - AS IS'!P70+'Procesy - ∆'!P279</f>
        <v>1.1000000000000001</v>
      </c>
      <c r="Q31" s="653">
        <f>'Procesy - AS IS'!Q70+'Procesy - ∆'!Q279</f>
        <v>0</v>
      </c>
      <c r="R31" s="653">
        <f>'Procesy - AS IS'!R70+'Procesy - ∆'!R279</f>
        <v>5.7774891212573873</v>
      </c>
      <c r="S31" s="653">
        <f>'Procesy - AS IS'!S70+'Procesy - ∆'!S279</f>
        <v>12.222510878742611</v>
      </c>
      <c r="T31" s="653">
        <f>'Procesy - AS IS'!T70+'Procesy - ∆'!T279</f>
        <v>2.8887445606286937</v>
      </c>
      <c r="U31" s="653">
        <f>'Procesy - AS IS'!U70+'Procesy - ∆'!U279</f>
        <v>1.4259596025199714</v>
      </c>
      <c r="V31" s="653">
        <f>'Procesy - AS IS'!V70+'Procesy - ∆'!V279</f>
        <v>0.25</v>
      </c>
      <c r="W31" s="653">
        <f>'Procesy - AS IS'!W70+'Procesy - ∆'!W279</f>
        <v>6.6853932584269665E-2</v>
      </c>
      <c r="X31" s="653">
        <f>'Procesy - AS IS'!X70+'Procesy - ∆'!X279</f>
        <v>0</v>
      </c>
      <c r="Y31" s="653">
        <f>'Procesy - AS IS'!Y70+'Procesy - ∆'!Y279</f>
        <v>2.292134831460674</v>
      </c>
      <c r="Z31" s="653">
        <f>'Procesy - AS IS'!Z70+'Procesy - ∆'!Z279</f>
        <v>8.4269662921348312E-3</v>
      </c>
      <c r="AA31" s="653">
        <f>'Procesy - AS IS'!AA70+'Procesy - ∆'!AA279</f>
        <v>2.247191011235955E-2</v>
      </c>
      <c r="AB31" s="653">
        <f>'Procesy - AS IS'!AB70+'Procesy - ∆'!AB279</f>
        <v>0.25168539325842698</v>
      </c>
      <c r="AC31" s="653">
        <f>'Procesy - AS IS'!AC70+'Procesy - ∆'!AC279</f>
        <v>0.6741573033707865</v>
      </c>
      <c r="AD31" s="653"/>
      <c r="AE31" s="754">
        <f t="shared" si="9"/>
        <v>38.855434500227311</v>
      </c>
      <c r="AF31" s="815">
        <f>'Procesy - AS IS'!AG70+'Procesy - ∆'!AG279</f>
        <v>123.3572170160113</v>
      </c>
      <c r="AG31" s="822">
        <f>'Procesy - AS IS'!AH70+'Procesy - ∆'!AH279</f>
        <v>39.594165518810669</v>
      </c>
      <c r="AH31" s="822">
        <f>'Procesy - AS IS'!AI70+'Procesy - ∆'!AI279</f>
        <v>23.562614486204406</v>
      </c>
      <c r="AI31" s="687">
        <f>'Procesy - AS IS'!AJ70+'Procesy - ∆'!AJ279</f>
        <v>2.7720722924946362</v>
      </c>
      <c r="AK31" s="232"/>
      <c r="AZ31"/>
    </row>
    <row r="32" spans="1:52" ht="15.75" thickBot="1" x14ac:dyDescent="0.3">
      <c r="A32" s="148"/>
      <c r="B32" s="741"/>
      <c r="C32" s="742" t="s">
        <v>588</v>
      </c>
      <c r="D32" s="743"/>
      <c r="E32" s="743"/>
      <c r="F32" s="743"/>
      <c r="G32" s="744"/>
      <c r="H32" s="744"/>
      <c r="I32" s="744"/>
      <c r="J32" s="744"/>
      <c r="K32" s="744"/>
      <c r="L32" s="744"/>
      <c r="M32" s="744"/>
      <c r="N32" s="744"/>
      <c r="O32" s="744"/>
      <c r="P32" s="744"/>
      <c r="Q32" s="744"/>
      <c r="R32" s="744"/>
      <c r="S32" s="744"/>
      <c r="T32" s="744"/>
      <c r="U32" s="744"/>
      <c r="V32" s="744"/>
      <c r="W32" s="744"/>
      <c r="X32" s="744"/>
      <c r="Y32" s="744"/>
      <c r="Z32" s="744"/>
      <c r="AA32" s="744"/>
      <c r="AB32" s="744"/>
      <c r="AC32" s="744"/>
      <c r="AD32" s="744"/>
      <c r="AE32" s="751"/>
      <c r="AF32" s="817">
        <f>'Procesy - AS IS'!AG71+'Procesy - ∆'!AG293</f>
        <v>168.65527353193241</v>
      </c>
      <c r="AG32" s="823">
        <f>'Procesy - AS IS'!AH71+'Procesy - ∆'!AH293</f>
        <v>8.7135157226472231</v>
      </c>
      <c r="AH32" s="823">
        <f>'Procesy - AS IS'!AI71+'Procesy - ∆'!AI293</f>
        <v>5.2296208847110819</v>
      </c>
      <c r="AI32" s="745">
        <f>'Procesy - AS IS'!AJ71+'Procesy - ∆'!AJ293</f>
        <v>2.5370261058888532</v>
      </c>
      <c r="AK32" s="232"/>
      <c r="AZ32"/>
    </row>
    <row r="33" spans="1:52" x14ac:dyDescent="0.25">
      <c r="A33" s="148"/>
      <c r="B33" s="657" t="str">
        <f>'Procesy - AS IS'!B72</f>
        <v>Zdroj 4</v>
      </c>
      <c r="C33" s="658" t="str">
        <f>'Procesy - AS IS'!C72</f>
        <v>Inšpekcia ochrany prírody a krajiny</v>
      </c>
      <c r="D33" s="726">
        <f t="shared" ref="D33:G33" si="11">D34*$AF34/($AF33-$AF38)+D35*$AF35/($AF33-$AF38)+D36*$AF36/($AF33-$AF38)+D37*$AF37/($AF33-$AF38)</f>
        <v>0</v>
      </c>
      <c r="E33" s="651">
        <f t="shared" si="11"/>
        <v>0</v>
      </c>
      <c r="F33" s="651">
        <f t="shared" si="11"/>
        <v>0</v>
      </c>
      <c r="G33" s="661">
        <f t="shared" si="11"/>
        <v>2.5191696656843456</v>
      </c>
      <c r="H33" s="654"/>
      <c r="I33" s="654"/>
      <c r="J33" s="654"/>
      <c r="K33" s="654"/>
      <c r="L33" s="661">
        <f t="shared" ref="L33:N33" si="12">L34*$AF34/($AF33-$AF38)+L35*$AF35/($AF33-$AF38)+L36*$AF36/($AF33-$AF38)+L37*$AF37/($AF33-$AF38)</f>
        <v>0.14998852198605062</v>
      </c>
      <c r="M33" s="661">
        <f t="shared" si="12"/>
        <v>0</v>
      </c>
      <c r="N33" s="651">
        <f t="shared" si="12"/>
        <v>0</v>
      </c>
      <c r="O33" s="651"/>
      <c r="P33" s="651">
        <f t="shared" ref="P33:AB33" si="13">P34*$AF34/($AF33-$AF38)+P35*$AF35/($AF33-$AF38)+P36*$AF36/($AF33-$AF38)+P37*$AF37/($AF33-$AF38)</f>
        <v>1.3198973354017294</v>
      </c>
      <c r="Q33" s="651">
        <f t="shared" si="13"/>
        <v>0</v>
      </c>
      <c r="R33" s="651">
        <f t="shared" si="13"/>
        <v>9.4395477183698233</v>
      </c>
      <c r="S33" s="651">
        <f t="shared" si="13"/>
        <v>1.8415151488710593</v>
      </c>
      <c r="T33" s="651">
        <f t="shared" si="13"/>
        <v>3.9688931917535824</v>
      </c>
      <c r="U33" s="651">
        <f t="shared" si="13"/>
        <v>0.48476371587257627</v>
      </c>
      <c r="V33" s="651">
        <f t="shared" si="13"/>
        <v>0.37543679311017059</v>
      </c>
      <c r="W33" s="651">
        <f t="shared" si="13"/>
        <v>0.16974199290134903</v>
      </c>
      <c r="X33" s="651">
        <f t="shared" si="13"/>
        <v>0</v>
      </c>
      <c r="Y33" s="651">
        <f t="shared" si="13"/>
        <v>4.172252065676779</v>
      </c>
      <c r="Z33" s="651">
        <f t="shared" si="13"/>
        <v>1.1601538327325177E-2</v>
      </c>
      <c r="AA33" s="651">
        <f t="shared" si="13"/>
        <v>1.933589721220863E-2</v>
      </c>
      <c r="AB33" s="651">
        <f t="shared" si="13"/>
        <v>0.14844185811247296</v>
      </c>
      <c r="AC33" s="652">
        <f>AC34*$AF34/($AF33-$AF38)+AC35*$AF35/($AF33-$AF38)+AC36*$AF36/($AF33-$AF38)+AC37*$AF37/($AF33-$AF38)</f>
        <v>0.80681280811945078</v>
      </c>
      <c r="AD33" s="651"/>
      <c r="AE33" s="752">
        <f>SUM(AE34:AE37)</f>
        <v>120.57988452225743</v>
      </c>
      <c r="AF33" s="816">
        <f>SUM(AF34:AF38)</f>
        <v>851.61091928894712</v>
      </c>
      <c r="AG33" s="766">
        <f>SUM(AG34:AG38)</f>
        <v>469.43788605401545</v>
      </c>
      <c r="AH33" s="822">
        <v>175</v>
      </c>
      <c r="AI33" s="688">
        <v>19</v>
      </c>
      <c r="AK33" s="232"/>
      <c r="AZ33"/>
    </row>
    <row r="34" spans="1:52" ht="30" x14ac:dyDescent="0.25">
      <c r="A34" s="148">
        <f ca="1">OFFSET(A34,-3,0)+1</f>
        <v>21</v>
      </c>
      <c r="B34" s="668" t="str">
        <f ca="1">'Procesy - AS IS'!B73</f>
        <v>Meranie č. 21</v>
      </c>
      <c r="C34" s="671" t="str">
        <f>'Procesy - AS IS'!C73</f>
        <v>Eko-Donau s.r.o., Preverenie legálnosti výrubu drevín, 5442/2018</v>
      </c>
      <c r="D34" s="709">
        <f>'Procesy - AS IS'!D75+'Procesy - ∆'!D295</f>
        <v>0</v>
      </c>
      <c r="E34" s="653">
        <f>'Procesy - AS IS'!E75+'Procesy - ∆'!E295</f>
        <v>0</v>
      </c>
      <c r="F34" s="653">
        <f>'Procesy - AS IS'!F75+'Procesy - ∆'!F295</f>
        <v>0</v>
      </c>
      <c r="G34" s="653">
        <f>'Procesy - AS IS'!G75+'Procesy - ∆'!G295</f>
        <v>2.8</v>
      </c>
      <c r="H34" s="653" t="s">
        <v>555</v>
      </c>
      <c r="I34" s="653" t="s">
        <v>555</v>
      </c>
      <c r="J34" s="653" t="s">
        <v>555</v>
      </c>
      <c r="K34" s="653" t="s">
        <v>555</v>
      </c>
      <c r="L34" s="653">
        <f>'Procesy - AS IS'!L75+'Procesy - ∆'!L295</f>
        <v>0.1875</v>
      </c>
      <c r="M34" s="653">
        <f>'Procesy - AS IS'!M75+'Procesy - ∆'!M295</f>
        <v>0</v>
      </c>
      <c r="N34" s="653">
        <f>'Procesy - AS IS'!N75+'Procesy - ∆'!N295</f>
        <v>0</v>
      </c>
      <c r="O34" s="653" t="s">
        <v>559</v>
      </c>
      <c r="P34" s="653">
        <f>'Procesy - AS IS'!P75+'Procesy - ∆'!P295</f>
        <v>1.65</v>
      </c>
      <c r="Q34" s="653">
        <f>'Procesy - AS IS'!Q75+'Procesy - ∆'!Q295</f>
        <v>0</v>
      </c>
      <c r="R34" s="653">
        <f>'Procesy - AS IS'!R75+'Procesy - ∆'!R295</f>
        <v>7.8799031476997587</v>
      </c>
      <c r="S34" s="653">
        <f>'Procesy - AS IS'!S75+'Procesy - ∆'!S295</f>
        <v>0.27167070217917672</v>
      </c>
      <c r="T34" s="653">
        <f>'Procesy - AS IS'!T75+'Procesy - ∆'!T295</f>
        <v>3.9399515738498794</v>
      </c>
      <c r="U34" s="653">
        <f>'Procesy - AS IS'!U75+'Procesy - ∆'!U295</f>
        <v>0</v>
      </c>
      <c r="V34" s="653">
        <f>'Procesy - AS IS'!V75+'Procesy - ∆'!V295</f>
        <v>0.25</v>
      </c>
      <c r="W34" s="653">
        <f>'Procesy - AS IS'!W75+'Procesy - ∆'!W295</f>
        <v>0.10762711864406779</v>
      </c>
      <c r="X34" s="653">
        <f>'Procesy - AS IS'!X75+'Procesy - ∆'!X295</f>
        <v>0</v>
      </c>
      <c r="Y34" s="653">
        <f>'Procesy - AS IS'!Y75+'Procesy - ∆'!Y295</f>
        <v>3.690072639225181</v>
      </c>
      <c r="Z34" s="653">
        <f>'Procesy - AS IS'!Z75+'Procesy - ∆'!Z295</f>
        <v>1.0895883777239709E-2</v>
      </c>
      <c r="AA34" s="653">
        <f>'Procesy - AS IS'!AA75+'Procesy - ∆'!AA295</f>
        <v>1.8159806295399514E-2</v>
      </c>
      <c r="AB34" s="653">
        <f>'Procesy - AS IS'!AB75+'Procesy - ∆'!AB295</f>
        <v>0.30508474576271183</v>
      </c>
      <c r="AC34" s="653">
        <f>'Procesy - AS IS'!AC75+'Procesy - ∆'!AC295</f>
        <v>0.87167070217917664</v>
      </c>
      <c r="AD34" s="653"/>
      <c r="AE34" s="754">
        <f>SUM(D34:AC34)</f>
        <v>21.982536319612596</v>
      </c>
      <c r="AF34" s="815">
        <f>'Procesy - AS IS'!AG75/2+'Procesy - ∆'!AG295</f>
        <v>339.58206148122753</v>
      </c>
      <c r="AG34" s="822">
        <f>'Procesy - AS IS'!AH75/2+'Procesy - ∆'!AH295</f>
        <v>185.82456633113176</v>
      </c>
      <c r="AH34" s="822">
        <f>'Procesy - AS IS'!AI75/2+'Procesy - ∆'!AI295</f>
        <v>104.42353948696342</v>
      </c>
      <c r="AI34" s="687">
        <f>'Procesy - AS IS'!AJ75/2+'Procesy - ∆'!AJ295</f>
        <v>12.333488915783082</v>
      </c>
      <c r="AK34" s="232"/>
      <c r="AZ34"/>
    </row>
    <row r="35" spans="1:52" ht="45" x14ac:dyDescent="0.25">
      <c r="A35" s="148">
        <f t="shared" ref="A35:A44" ca="1" si="14">OFFSET(A35,-1,0)+1</f>
        <v>22</v>
      </c>
      <c r="B35" s="668" t="str">
        <f ca="1">'Procesy - AS IS'!B76</f>
        <v>Meranie č. 22</v>
      </c>
      <c r="C35" s="671" t="str">
        <f>'Procesy - AS IS'!C76</f>
        <v>Komposesorát Vojka s.r.o., Preverenie legálnosti realizácie oplotenia v chránenom území, 3006/2018</v>
      </c>
      <c r="D35" s="709">
        <f>'Procesy - AS IS'!D78+'Procesy - ∆'!D309</f>
        <v>0</v>
      </c>
      <c r="E35" s="653">
        <f>'Procesy - AS IS'!E78+'Procesy - ∆'!E309</f>
        <v>0</v>
      </c>
      <c r="F35" s="653">
        <f>'Procesy - AS IS'!F78+'Procesy - ∆'!F309</f>
        <v>0</v>
      </c>
      <c r="G35" s="653">
        <f>'Procesy - AS IS'!G78+'Procesy - ∆'!G309</f>
        <v>2.1</v>
      </c>
      <c r="H35" s="653" t="s">
        <v>555</v>
      </c>
      <c r="I35" s="653" t="s">
        <v>555</v>
      </c>
      <c r="J35" s="653" t="s">
        <v>555</v>
      </c>
      <c r="K35" s="653" t="s">
        <v>555</v>
      </c>
      <c r="L35" s="653">
        <f>'Procesy - AS IS'!L78+'Procesy - ∆'!L309</f>
        <v>0.1875</v>
      </c>
      <c r="M35" s="653">
        <f>'Procesy - AS IS'!M78+'Procesy - ∆'!M309</f>
        <v>0</v>
      </c>
      <c r="N35" s="653">
        <f>'Procesy - AS IS'!N78+'Procesy - ∆'!N309</f>
        <v>0</v>
      </c>
      <c r="O35" s="653" t="s">
        <v>559</v>
      </c>
      <c r="P35" s="653">
        <f>'Procesy - AS IS'!P78+'Procesy - ∆'!P309</f>
        <v>1.1000000000000001</v>
      </c>
      <c r="Q35" s="653">
        <f>'Procesy - AS IS'!Q78+'Procesy - ∆'!Q309</f>
        <v>0</v>
      </c>
      <c r="R35" s="653">
        <f>'Procesy - AS IS'!R78+'Procesy - ∆'!R309</f>
        <v>7.8799031476997587</v>
      </c>
      <c r="S35" s="653">
        <f>'Procesy - AS IS'!S78+'Procesy - ∆'!S309</f>
        <v>2.1733656174334137</v>
      </c>
      <c r="T35" s="653">
        <f>'Procesy - AS IS'!T78+'Procesy - ∆'!T309</f>
        <v>3.9399515738498794</v>
      </c>
      <c r="U35" s="653">
        <f>'Procesy - AS IS'!U78+'Procesy - ∆'!U309</f>
        <v>0</v>
      </c>
      <c r="V35" s="653">
        <f>'Procesy - AS IS'!V78+'Procesy - ∆'!V309</f>
        <v>0.5</v>
      </c>
      <c r="W35" s="653">
        <f>'Procesy - AS IS'!W78+'Procesy - ∆'!W309</f>
        <v>0.21525423728813559</v>
      </c>
      <c r="X35" s="653">
        <f>'Procesy - AS IS'!X78+'Procesy - ∆'!X309</f>
        <v>0</v>
      </c>
      <c r="Y35" s="653">
        <f>'Procesy - AS IS'!Y78+'Procesy - ∆'!Y309</f>
        <v>4.4280871670702178</v>
      </c>
      <c r="Z35" s="653">
        <f>'Procesy - AS IS'!Z78+'Procesy - ∆'!Z309</f>
        <v>1.0895883777239709E-2</v>
      </c>
      <c r="AA35" s="653">
        <f>'Procesy - AS IS'!AA78+'Procesy - ∆'!AA309</f>
        <v>1.8159806295399514E-2</v>
      </c>
      <c r="AB35" s="653">
        <f>'Procesy - AS IS'!AB78+'Procesy - ∆'!AB309</f>
        <v>0</v>
      </c>
      <c r="AC35" s="653">
        <f>'Procesy - AS IS'!AC78+'Procesy - ∆'!AC309</f>
        <v>0</v>
      </c>
      <c r="AD35" s="653"/>
      <c r="AE35" s="754">
        <f>SUM(D35:AC35)</f>
        <v>22.553117433414048</v>
      </c>
      <c r="AF35" s="815">
        <f>'Procesy - AS IS'!AG75/2+'Procesy - ∆'!AG309</f>
        <v>341.65454167253802</v>
      </c>
      <c r="AG35" s="822">
        <f>'Procesy - AS IS'!AH75/2+'Procesy - ∆'!AH309</f>
        <v>186.95865960773264</v>
      </c>
      <c r="AH35" s="822">
        <f>'Procesy - AS IS'!AI75/2+'Procesy - ∆'!AI309</f>
        <v>105.06083969107101</v>
      </c>
      <c r="AI35" s="687">
        <f>'Procesy - AS IS'!AJ75/2+'Procesy - ∆'!AJ309</f>
        <v>12.408760593433584</v>
      </c>
      <c r="AK35" s="232"/>
      <c r="AZ35"/>
    </row>
    <row r="36" spans="1:52" ht="45" x14ac:dyDescent="0.25">
      <c r="A36" s="148">
        <f t="shared" ca="1" si="14"/>
        <v>23</v>
      </c>
      <c r="B36" s="668" t="str">
        <f ca="1">'Procesy - AS IS'!B79</f>
        <v>Meranie č. 23</v>
      </c>
      <c r="C36" s="671" t="str">
        <f>'Procesy - AS IS'!C79</f>
        <v>Štefan Fraňo, Ochrana ohrozených druhov, ktoré sú predmetom dohovoru CITES, 7840/2017</v>
      </c>
      <c r="D36" s="709">
        <f>'Procesy - AS IS'!D81+'Procesy - ∆'!D323</f>
        <v>0</v>
      </c>
      <c r="E36" s="653">
        <f>'Procesy - AS IS'!E81+'Procesy - ∆'!E323</f>
        <v>0</v>
      </c>
      <c r="F36" s="653">
        <f>'Procesy - AS IS'!F81+'Procesy - ∆'!F323</f>
        <v>0</v>
      </c>
      <c r="G36" s="653">
        <f>'Procesy - AS IS'!G81+'Procesy - ∆'!G323</f>
        <v>2.8</v>
      </c>
      <c r="H36" s="653" t="s">
        <v>555</v>
      </c>
      <c r="I36" s="653" t="s">
        <v>555</v>
      </c>
      <c r="J36" s="653" t="s">
        <v>555</v>
      </c>
      <c r="K36" s="653" t="s">
        <v>555</v>
      </c>
      <c r="L36" s="653">
        <f>'Procesy - AS IS'!L81+'Procesy - ∆'!L323</f>
        <v>0</v>
      </c>
      <c r="M36" s="653">
        <f>'Procesy - AS IS'!M81+'Procesy - ∆'!M323</f>
        <v>0</v>
      </c>
      <c r="N36" s="653">
        <f>'Procesy - AS IS'!N81+'Procesy - ∆'!N323</f>
        <v>0</v>
      </c>
      <c r="O36" s="653" t="s">
        <v>559</v>
      </c>
      <c r="P36" s="653">
        <f>'Procesy - AS IS'!P81+'Procesy - ∆'!P323</f>
        <v>0.55000000000000004</v>
      </c>
      <c r="Q36" s="653">
        <f>'Procesy - AS IS'!Q81+'Procesy - ∆'!Q323</f>
        <v>0</v>
      </c>
      <c r="R36" s="653">
        <f>'Procesy - AS IS'!R81+'Procesy - ∆'!R323</f>
        <v>12.253846153846153</v>
      </c>
      <c r="S36" s="653">
        <f>'Procesy - AS IS'!S81+'Procesy - ∆'!S323</f>
        <v>0.25961538461538458</v>
      </c>
      <c r="T36" s="653">
        <f>'Procesy - AS IS'!T81+'Procesy - ∆'!T323</f>
        <v>4.0846153846153843</v>
      </c>
      <c r="U36" s="653">
        <f>'Procesy - AS IS'!U81+'Procesy - ∆'!U323</f>
        <v>2.4230769230769234</v>
      </c>
      <c r="V36" s="653">
        <f>'Procesy - AS IS'!V81+'Procesy - ∆'!V323</f>
        <v>0.25</v>
      </c>
      <c r="W36" s="653">
        <f>'Procesy - AS IS'!W81+'Procesy - ∆'!W323</f>
        <v>0.13461538461538464</v>
      </c>
      <c r="X36" s="653">
        <f>'Procesy - AS IS'!X81+'Procesy - ∆'!X323</f>
        <v>0</v>
      </c>
      <c r="Y36" s="653">
        <f>'Procesy - AS IS'!Y81+'Procesy - ∆'!Y323</f>
        <v>3.6923076923076925</v>
      </c>
      <c r="Z36" s="653">
        <f>'Procesy - AS IS'!Z81+'Procesy - ∆'!Z323</f>
        <v>1.4423076923076924E-2</v>
      </c>
      <c r="AA36" s="653">
        <f>'Procesy - AS IS'!AA81+'Procesy - ∆'!AA323</f>
        <v>2.403846153846154E-2</v>
      </c>
      <c r="AB36" s="653">
        <f>'Procesy - AS IS'!AB81+'Procesy - ∆'!AB323</f>
        <v>0.26923076923076927</v>
      </c>
      <c r="AC36" s="653">
        <f>'Procesy - AS IS'!AC81+'Procesy - ∆'!AC323</f>
        <v>4.615384615384615</v>
      </c>
      <c r="AD36" s="653"/>
      <c r="AE36" s="754">
        <f>SUM(D36:AC36)</f>
        <v>31.371153846153845</v>
      </c>
      <c r="AF36" s="815">
        <f>'Procesy - AS IS'!AG81/2+'Procesy - ∆'!AG323</f>
        <v>84.73548703488018</v>
      </c>
      <c r="AG36" s="822">
        <f>'Procesy - AS IS'!AH81/2+'Procesy - ∆'!AH323</f>
        <v>48.071093606326251</v>
      </c>
      <c r="AH36" s="822">
        <f>'Procesy - AS IS'!AI81/2+'Procesy - ∆'!AI323</f>
        <v>32.590571936492374</v>
      </c>
      <c r="AI36" s="687">
        <f>'Procesy - AS IS'!AJ81+'Procesy - ∆'!AJ323/2</f>
        <v>5.7869107460307738</v>
      </c>
      <c r="AK36" s="232"/>
      <c r="AZ36"/>
    </row>
    <row r="37" spans="1:52" ht="45" x14ac:dyDescent="0.25">
      <c r="A37" s="148">
        <f t="shared" ca="1" si="14"/>
        <v>24</v>
      </c>
      <c r="B37" s="234" t="str">
        <f ca="1">'Procesy - AS IS'!B82</f>
        <v>Meranie č. 24</v>
      </c>
      <c r="C37" s="650" t="str">
        <f>'Procesy - AS IS'!C82</f>
        <v>Marián Imrišek, Ochrana ohrozených druhov, ktoré sú predmetom dohovoru CITES, 38/2019</v>
      </c>
      <c r="D37" s="709">
        <f>'Procesy - AS IS'!D84+'Procesy - ∆'!D337</f>
        <v>0</v>
      </c>
      <c r="E37" s="653">
        <f>'Procesy - AS IS'!E84+'Procesy - ∆'!E337</f>
        <v>0</v>
      </c>
      <c r="F37" s="653">
        <f>'Procesy - AS IS'!F84+'Procesy - ∆'!F337</f>
        <v>0</v>
      </c>
      <c r="G37" s="653">
        <f>'Procesy - AS IS'!G84+'Procesy - ∆'!G337</f>
        <v>2.8</v>
      </c>
      <c r="H37" s="653" t="s">
        <v>555</v>
      </c>
      <c r="I37" s="653" t="s">
        <v>555</v>
      </c>
      <c r="J37" s="653" t="s">
        <v>555</v>
      </c>
      <c r="K37" s="653" t="s">
        <v>555</v>
      </c>
      <c r="L37" s="653">
        <f>'Procesy - AS IS'!L84+'Procesy - ∆'!L337</f>
        <v>0</v>
      </c>
      <c r="M37" s="653">
        <f>'Procesy - AS IS'!M84+'Procesy - ∆'!M337</f>
        <v>0</v>
      </c>
      <c r="N37" s="653">
        <f>'Procesy - AS IS'!N84+'Procesy - ∆'!N337</f>
        <v>0</v>
      </c>
      <c r="O37" s="653" t="s">
        <v>559</v>
      </c>
      <c r="P37" s="653">
        <f>'Procesy - AS IS'!P84+'Procesy - ∆'!P337</f>
        <v>1.65</v>
      </c>
      <c r="Q37" s="653">
        <f>'Procesy - AS IS'!Q84+'Procesy - ∆'!Q337</f>
        <v>0</v>
      </c>
      <c r="R37" s="653">
        <f>'Procesy - AS IS'!R84+'Procesy - ∆'!R337</f>
        <v>19.061538461538461</v>
      </c>
      <c r="S37" s="653">
        <f>'Procesy - AS IS'!S84+'Procesy - ∆'!S337</f>
        <v>8.3076923076923066</v>
      </c>
      <c r="T37" s="653">
        <f>'Procesy - AS IS'!T84+'Procesy - ∆'!T337</f>
        <v>4.0846153846153843</v>
      </c>
      <c r="U37" s="653">
        <f>'Procesy - AS IS'!U84+'Procesy - ∆'!U337</f>
        <v>2.4230769230769234</v>
      </c>
      <c r="V37" s="653">
        <f>'Procesy - AS IS'!V84+'Procesy - ∆'!V337</f>
        <v>0.5</v>
      </c>
      <c r="W37" s="653">
        <f>'Procesy - AS IS'!W84+'Procesy - ∆'!W337</f>
        <v>0.26923076923076927</v>
      </c>
      <c r="X37" s="653">
        <f>'Procesy - AS IS'!X84+'Procesy - ∆'!X337</f>
        <v>0</v>
      </c>
      <c r="Y37" s="653">
        <f>'Procesy - AS IS'!Y84+'Procesy - ∆'!Y337</f>
        <v>5.5384615384615383</v>
      </c>
      <c r="Z37" s="653">
        <f>'Procesy - AS IS'!Z84+'Procesy - ∆'!Z337</f>
        <v>1.4423076923076924E-2</v>
      </c>
      <c r="AA37" s="653">
        <f>'Procesy - AS IS'!AA84+'Procesy - ∆'!AA337</f>
        <v>2.403846153846154E-2</v>
      </c>
      <c r="AB37" s="653">
        <f>'Procesy - AS IS'!AB84+'Procesy - ∆'!AB337</f>
        <v>0</v>
      </c>
      <c r="AC37" s="653">
        <f>'Procesy - AS IS'!AC84+'Procesy - ∆'!AC337</f>
        <v>0</v>
      </c>
      <c r="AD37" s="653"/>
      <c r="AE37" s="754">
        <f>SUM(D37:AC37)</f>
        <v>44.673076923076927</v>
      </c>
      <c r="AF37" s="815">
        <f>'Procesy - AS IS'!AG81/2+'Procesy - ∆'!AG337</f>
        <v>85.638829100301351</v>
      </c>
      <c r="AG37" s="822">
        <f>'Procesy - AS IS'!AH81/2+'Procesy - ∆'!AH337</f>
        <v>48.583566508824809</v>
      </c>
      <c r="AH37" s="822">
        <f>'Procesy - AS IS'!AI81/2+'Procesy - ∆'!AI337</f>
        <v>32.938011192423602</v>
      </c>
      <c r="AI37" s="687">
        <f>'Procesy - AS IS'!AJ81/2+'Procesy - ∆'!AJ337</f>
        <v>4.1172513990529502</v>
      </c>
      <c r="AK37" s="232"/>
      <c r="AZ37"/>
    </row>
    <row r="38" spans="1:52" ht="15.75" thickBot="1" x14ac:dyDescent="0.3">
      <c r="A38" s="148"/>
      <c r="B38" s="741"/>
      <c r="C38" s="742" t="s">
        <v>588</v>
      </c>
      <c r="D38" s="743"/>
      <c r="E38" s="743"/>
      <c r="F38" s="743"/>
      <c r="G38" s="744"/>
      <c r="H38" s="744"/>
      <c r="I38" s="744"/>
      <c r="J38" s="744"/>
      <c r="K38" s="744"/>
      <c r="L38" s="744"/>
      <c r="M38" s="744"/>
      <c r="N38" s="744"/>
      <c r="O38" s="744"/>
      <c r="P38" s="744"/>
      <c r="Q38" s="744"/>
      <c r="R38" s="744"/>
      <c r="S38" s="744"/>
      <c r="T38" s="744"/>
      <c r="U38" s="744"/>
      <c r="V38" s="744"/>
      <c r="W38" s="744"/>
      <c r="X38" s="744"/>
      <c r="Y38" s="744"/>
      <c r="Z38" s="744"/>
      <c r="AA38" s="744"/>
      <c r="AB38" s="744"/>
      <c r="AC38" s="744"/>
      <c r="AD38" s="744"/>
      <c r="AE38" s="751"/>
      <c r="AF38" s="817">
        <f>'Procesy - AS IS'!AG85+'Procesy - ∆'!AG351</f>
        <v>0</v>
      </c>
      <c r="AG38" s="823">
        <f>'Procesy - AS IS'!AH85+'Procesy - ∆'!AH351</f>
        <v>0</v>
      </c>
      <c r="AH38" s="823">
        <f>'Procesy - AS IS'!AI85+'Procesy - ∆'!AI351</f>
        <v>0</v>
      </c>
      <c r="AI38" s="745">
        <f>'Procesy - AS IS'!AJ85+'Procesy - ∆'!AJ351</f>
        <v>0</v>
      </c>
      <c r="AK38" s="232"/>
      <c r="AZ38"/>
    </row>
    <row r="39" spans="1:52" x14ac:dyDescent="0.25">
      <c r="A39" s="148"/>
      <c r="B39" s="657" t="str">
        <f>'Procesy - AS IS'!B86</f>
        <v>Zdroj 5</v>
      </c>
      <c r="C39" s="658" t="str">
        <f>'Procesy - AS IS'!C86</f>
        <v>Inšpekcia biologickej bezpečnosti</v>
      </c>
      <c r="D39" s="726">
        <f t="shared" ref="D39:G39" si="15">D40*$AF40/($AF39-$AF45)+D41*$AF41/($AF39-$AF45)+D42*$AF42/($AF39-$AF45)+D43*$AF43/($AF39-$AF45)+D44*$AF44/($AF39-$AF45)</f>
        <v>0</v>
      </c>
      <c r="E39" s="651">
        <f t="shared" si="15"/>
        <v>7.93635729220986</v>
      </c>
      <c r="F39" s="651">
        <f t="shared" si="15"/>
        <v>3.405310389822326</v>
      </c>
      <c r="G39" s="661">
        <f t="shared" si="15"/>
        <v>4.7002013816482302</v>
      </c>
      <c r="H39" s="654"/>
      <c r="I39" s="654"/>
      <c r="J39" s="654"/>
      <c r="K39" s="654"/>
      <c r="L39" s="661">
        <f t="shared" ref="L39:M39" si="16">L40*$AF40/($AF39-$AF45)+L41*$AF41/($AF39-$AF45)+L42*$AF42/($AF39-$AF45)+L43*$AF43/($AF39-$AF45)+L44*$AF44/($AF39-$AF45)</f>
        <v>2.2919748778914939</v>
      </c>
      <c r="M39" s="661">
        <f t="shared" si="16"/>
        <v>0</v>
      </c>
      <c r="N39" s="651"/>
      <c r="O39" s="651"/>
      <c r="P39" s="651">
        <f t="shared" ref="P39:AB39" si="17">P40*$AF40/($AF39-$AF45)+P41*$AF41/($AF39-$AF45)+P42*$AF42/($AF39-$AF45)+P43*$AF43/($AF39-$AF45)+P44*$AF44/($AF39-$AF45)</f>
        <v>2.6924760786021835</v>
      </c>
      <c r="Q39" s="651">
        <f t="shared" si="17"/>
        <v>0</v>
      </c>
      <c r="R39" s="651">
        <f t="shared" si="17"/>
        <v>0.51297066069660346</v>
      </c>
      <c r="S39" s="651">
        <f t="shared" si="17"/>
        <v>5.007354495350393</v>
      </c>
      <c r="T39" s="651">
        <f t="shared" si="17"/>
        <v>0.25648533034830173</v>
      </c>
      <c r="U39" s="651">
        <f t="shared" si="17"/>
        <v>1.4750469335640393</v>
      </c>
      <c r="V39" s="651">
        <f t="shared" si="17"/>
        <v>1.8874465564258069</v>
      </c>
      <c r="W39" s="651">
        <f t="shared" si="17"/>
        <v>0</v>
      </c>
      <c r="X39" s="651">
        <f t="shared" si="17"/>
        <v>0</v>
      </c>
      <c r="Y39" s="651">
        <f t="shared" si="17"/>
        <v>0</v>
      </c>
      <c r="Z39" s="651">
        <f t="shared" si="17"/>
        <v>0</v>
      </c>
      <c r="AA39" s="651">
        <f t="shared" si="17"/>
        <v>0</v>
      </c>
      <c r="AB39" s="651">
        <f t="shared" si="17"/>
        <v>0</v>
      </c>
      <c r="AC39" s="652">
        <f>AC40*$AF40/($AF39-$AF45)+AC41*$AF41/($AF39-$AF45)+AC42*$AF42/($AF39-$AF45)+AC43*$AF43/($AF39-$AF45)+AC44*$AF44/($AF39-$AF45)</f>
        <v>0</v>
      </c>
      <c r="AD39" s="651"/>
      <c r="AE39" s="752">
        <f>SUM(AE40:AE44)</f>
        <v>177.61113237639555</v>
      </c>
      <c r="AF39" s="816">
        <f>SUM(AF40:AF45)</f>
        <v>265.27361585046737</v>
      </c>
      <c r="AG39" s="766">
        <f>SUM(AG40:AG45)</f>
        <v>26.532235951853593</v>
      </c>
      <c r="AH39" s="822">
        <f>SUM(AH40:AH45)</f>
        <v>0</v>
      </c>
      <c r="AI39" s="688">
        <f>SUM(AI40:AI45)</f>
        <v>0</v>
      </c>
      <c r="AK39" s="232"/>
      <c r="AZ39"/>
    </row>
    <row r="40" spans="1:52" ht="30" x14ac:dyDescent="0.25">
      <c r="A40" s="148">
        <f ca="1">OFFSET(A40,-3,0)+1</f>
        <v>25</v>
      </c>
      <c r="B40" s="668" t="str">
        <f ca="1">'Procesy - AS IS'!B87</f>
        <v>Meranie č. 25</v>
      </c>
      <c r="C40" s="671" t="str">
        <f>'Procesy - AS IS'!C87</f>
        <v>PF UK, Kontrola uzavretých priestorov, 3651/2018</v>
      </c>
      <c r="D40" s="726">
        <f>'Procesy - AS IS'!D89+'Procesy - ∆'!D353</f>
        <v>0</v>
      </c>
      <c r="E40" s="653">
        <f>'Procesy - AS IS'!E89+'Procesy - ∆'!E353</f>
        <v>32</v>
      </c>
      <c r="F40" s="653">
        <f>'Procesy - AS IS'!F89+'Procesy - ∆'!F353</f>
        <v>1.5</v>
      </c>
      <c r="G40" s="653">
        <f>'Procesy - AS IS'!G89+'Procesy - ∆'!G353</f>
        <v>11.2</v>
      </c>
      <c r="H40" s="653" t="s">
        <v>555</v>
      </c>
      <c r="I40" s="653" t="s">
        <v>555</v>
      </c>
      <c r="J40" s="653" t="s">
        <v>555</v>
      </c>
      <c r="K40" s="653" t="s">
        <v>555</v>
      </c>
      <c r="L40" s="653">
        <f>'Procesy - AS IS'!L89+'Procesy - ∆'!L353</f>
        <v>0.6</v>
      </c>
      <c r="M40" s="653">
        <f>'Procesy - AS IS'!M89+'Procesy - ∆'!M353</f>
        <v>0</v>
      </c>
      <c r="N40" s="653" t="s">
        <v>557</v>
      </c>
      <c r="O40" s="653" t="s">
        <v>559</v>
      </c>
      <c r="P40" s="653">
        <f>'Procesy - AS IS'!P89+'Procesy - ∆'!P353</f>
        <v>4.4000000000000004</v>
      </c>
      <c r="Q40" s="653">
        <f>'Procesy - AS IS'!Q89+'Procesy - ∆'!Q353</f>
        <v>0</v>
      </c>
      <c r="R40" s="653">
        <f>'Procesy - AS IS'!R89+'Procesy - ∆'!R353</f>
        <v>0.87272727272727268</v>
      </c>
      <c r="S40" s="653">
        <f>'Procesy - AS IS'!S89+'Procesy - ∆'!S353</f>
        <v>8.7272727272727266</v>
      </c>
      <c r="T40" s="653">
        <f>'Procesy - AS IS'!T89+'Procesy - ∆'!T353</f>
        <v>0.43636363636363634</v>
      </c>
      <c r="U40" s="653">
        <f>'Procesy - AS IS'!U89+'Procesy - ∆'!U353</f>
        <v>5.0909090909090908</v>
      </c>
      <c r="V40" s="653">
        <f>'Procesy - AS IS'!V89+'Procesy - ∆'!V353</f>
        <v>0.25</v>
      </c>
      <c r="W40" s="653">
        <f>'Procesy - AS IS'!W89+'Procesy - ∆'!W353</f>
        <v>0</v>
      </c>
      <c r="X40" s="653">
        <f>'Procesy - AS IS'!X89+'Procesy - ∆'!X353</f>
        <v>0</v>
      </c>
      <c r="Y40" s="653">
        <f>'Procesy - AS IS'!Y89+'Procesy - ∆'!Y353</f>
        <v>0</v>
      </c>
      <c r="Z40" s="653">
        <f>'Procesy - AS IS'!Z89+'Procesy - ∆'!Z353</f>
        <v>0</v>
      </c>
      <c r="AA40" s="653">
        <f>'Procesy - AS IS'!AA89+'Procesy - ∆'!AA353</f>
        <v>0</v>
      </c>
      <c r="AB40" s="653">
        <f>'Procesy - AS IS'!AB89+'Procesy - ∆'!AB353</f>
        <v>0</v>
      </c>
      <c r="AC40" s="653">
        <f>'Procesy - AS IS'!AC89+'Procesy - ∆'!AC353</f>
        <v>0</v>
      </c>
      <c r="AD40" s="653"/>
      <c r="AE40" s="754">
        <f>SUM(D40:AC40)</f>
        <v>65.077272727272728</v>
      </c>
      <c r="AF40" s="815">
        <f>'Procesy - AS IS'!AG89+'Procesy - ∆'!AG353</f>
        <v>15.55074387092268</v>
      </c>
      <c r="AG40" s="822">
        <f>'Procesy - AS IS'!AH89+'Procesy - ∆'!AH353</f>
        <v>1.4137039882656983</v>
      </c>
      <c r="AH40" s="822">
        <f>'Procesy - AS IS'!AI89+'Procesy - ∆'!AI353</f>
        <v>0</v>
      </c>
      <c r="AI40" s="687">
        <f>'Procesy - AS IS'!AJ89+'Procesy - ∆'!AJ353</f>
        <v>0</v>
      </c>
      <c r="AK40" s="232"/>
      <c r="AZ40"/>
    </row>
    <row r="41" spans="1:52" ht="45" x14ac:dyDescent="0.25">
      <c r="A41" s="148">
        <f t="shared" ca="1" si="14"/>
        <v>26</v>
      </c>
      <c r="B41" s="234" t="str">
        <f ca="1">'Procesy - AS IS'!B90</f>
        <v>Meranie č. 26</v>
      </c>
      <c r="C41" s="650" t="str">
        <f>'Procesy - AS IS'!C90</f>
        <v>František Karkes, Senec, Používanie GT a GMO zámerným uvoľňovaním, 4785/2017</v>
      </c>
      <c r="D41" s="726">
        <f>'Procesy - AS IS'!D92+'Procesy - ∆'!D367</f>
        <v>0</v>
      </c>
      <c r="E41" s="653">
        <f>'Procesy - AS IS'!E92+'Procesy - ∆'!E367</f>
        <v>6.4</v>
      </c>
      <c r="F41" s="653">
        <f>'Procesy - AS IS'!F92+'Procesy - ∆'!F367</f>
        <v>4.8</v>
      </c>
      <c r="G41" s="653">
        <f>'Procesy - AS IS'!G92+'Procesy - ∆'!G367</f>
        <v>2.8</v>
      </c>
      <c r="H41" s="653" t="s">
        <v>555</v>
      </c>
      <c r="I41" s="653" t="s">
        <v>555</v>
      </c>
      <c r="J41" s="653" t="s">
        <v>555</v>
      </c>
      <c r="K41" s="653" t="s">
        <v>555</v>
      </c>
      <c r="L41" s="653">
        <f>'Procesy - AS IS'!L92+'Procesy - ∆'!L367</f>
        <v>2.4</v>
      </c>
      <c r="M41" s="653">
        <f>'Procesy - AS IS'!M92+'Procesy - ∆'!M367</f>
        <v>0</v>
      </c>
      <c r="N41" s="653" t="s">
        <v>557</v>
      </c>
      <c r="O41" s="653" t="s">
        <v>559</v>
      </c>
      <c r="P41" s="653">
        <f>'Procesy - AS IS'!P92+'Procesy - ∆'!P367</f>
        <v>1.65</v>
      </c>
      <c r="Q41" s="653">
        <f>'Procesy - AS IS'!Q92+'Procesy - ∆'!Q367</f>
        <v>0</v>
      </c>
      <c r="R41" s="653">
        <f>'Procesy - AS IS'!R92+'Procesy - ∆'!R367</f>
        <v>1.3473684210526313</v>
      </c>
      <c r="S41" s="653">
        <f>'Procesy - AS IS'!S92+'Procesy - ∆'!S367</f>
        <v>2.0631578947368423</v>
      </c>
      <c r="T41" s="653">
        <f>'Procesy - AS IS'!T92+'Procesy - ∆'!T367</f>
        <v>0.67368421052631566</v>
      </c>
      <c r="U41" s="653">
        <f>'Procesy - AS IS'!U92+'Procesy - ∆'!U367</f>
        <v>2.4070175438596495</v>
      </c>
      <c r="V41" s="653">
        <f>'Procesy - AS IS'!V92+'Procesy - ∆'!V367</f>
        <v>2</v>
      </c>
      <c r="W41" s="653">
        <f>'Procesy - AS IS'!W92+'Procesy - ∆'!W367</f>
        <v>0</v>
      </c>
      <c r="X41" s="653">
        <f>'Procesy - AS IS'!X92+'Procesy - ∆'!X367</f>
        <v>0</v>
      </c>
      <c r="Y41" s="653">
        <f>'Procesy - AS IS'!Y92+'Procesy - ∆'!Y367</f>
        <v>0</v>
      </c>
      <c r="Z41" s="653">
        <f>'Procesy - AS IS'!Z92+'Procesy - ∆'!Z367</f>
        <v>0</v>
      </c>
      <c r="AA41" s="653">
        <f>'Procesy - AS IS'!AA92+'Procesy - ∆'!AA367</f>
        <v>0</v>
      </c>
      <c r="AB41" s="653">
        <f>'Procesy - AS IS'!AB92+'Procesy - ∆'!AB367</f>
        <v>0</v>
      </c>
      <c r="AC41" s="653">
        <f>'Procesy - AS IS'!AC92+'Procesy - ∆'!AC367</f>
        <v>0</v>
      </c>
      <c r="AD41" s="653"/>
      <c r="AE41" s="754">
        <f>SUM(D41:AC41)</f>
        <v>26.541228070175436</v>
      </c>
      <c r="AF41" s="815">
        <f>'Procesy - AS IS'!AG92/2+'Procesy - ∆'!AG367</f>
        <v>88.579171761906352</v>
      </c>
      <c r="AG41" s="822">
        <f>'Procesy - AS IS'!AH92/2+'Procesy - ∆'!AH367</f>
        <v>12.432164457811417</v>
      </c>
      <c r="AH41" s="822">
        <f>'Procesy - AS IS'!AI92/2+'Procesy - ∆'!AI367</f>
        <v>0</v>
      </c>
      <c r="AI41" s="687">
        <f>'Procesy - AS IS'!AJ92/2+'Procesy - ∆'!AJ367</f>
        <v>0</v>
      </c>
      <c r="AK41" s="232"/>
      <c r="AZ41"/>
    </row>
    <row r="42" spans="1:52" ht="30" x14ac:dyDescent="0.25">
      <c r="A42" s="148">
        <f t="shared" ca="1" si="14"/>
        <v>27</v>
      </c>
      <c r="B42" s="234" t="str">
        <f ca="1">'Procesy - AS IS'!B93</f>
        <v>Meranie č. 27</v>
      </c>
      <c r="C42" s="650" t="str">
        <f>'Procesy - AS IS'!C93</f>
        <v>Farma Majcikov, Používanie GT a GMO zámerným uvoľňovaním, 6121/2018</v>
      </c>
      <c r="D42" s="726">
        <f>'Procesy - AS IS'!D95+'Procesy - ∆'!D381</f>
        <v>0</v>
      </c>
      <c r="E42" s="653">
        <f>'Procesy - AS IS'!E95+'Procesy - ∆'!E381</f>
        <v>6.4</v>
      </c>
      <c r="F42" s="653">
        <f>'Procesy - AS IS'!F95+'Procesy - ∆'!F381</f>
        <v>4.8</v>
      </c>
      <c r="G42" s="653">
        <f>'Procesy - AS IS'!G95+'Procesy - ∆'!G381</f>
        <v>2.8</v>
      </c>
      <c r="H42" s="653" t="s">
        <v>555</v>
      </c>
      <c r="I42" s="653" t="s">
        <v>555</v>
      </c>
      <c r="J42" s="653" t="s">
        <v>555</v>
      </c>
      <c r="K42" s="653" t="s">
        <v>555</v>
      </c>
      <c r="L42" s="653">
        <f>'Procesy - AS IS'!L95+'Procesy - ∆'!L381</f>
        <v>2.4</v>
      </c>
      <c r="M42" s="653">
        <f>'Procesy - AS IS'!M95+'Procesy - ∆'!M381</f>
        <v>0</v>
      </c>
      <c r="N42" s="653" t="s">
        <v>557</v>
      </c>
      <c r="O42" s="653" t="s">
        <v>559</v>
      </c>
      <c r="P42" s="653">
        <f>'Procesy - AS IS'!P95+'Procesy - ∆'!P381</f>
        <v>2.2000000000000002</v>
      </c>
      <c r="Q42" s="653">
        <f>'Procesy - AS IS'!Q95+'Procesy - ∆'!Q381</f>
        <v>0</v>
      </c>
      <c r="R42" s="653">
        <f>'Procesy - AS IS'!R95+'Procesy - ∆'!R381</f>
        <v>0</v>
      </c>
      <c r="S42" s="653">
        <f>'Procesy - AS IS'!S95+'Procesy - ∆'!S381</f>
        <v>8.2526315789473692</v>
      </c>
      <c r="T42" s="653">
        <f>'Procesy - AS IS'!T95+'Procesy - ∆'!T381</f>
        <v>0</v>
      </c>
      <c r="U42" s="653">
        <f>'Procesy - AS IS'!U95+'Procesy - ∆'!U381</f>
        <v>0</v>
      </c>
      <c r="V42" s="653">
        <f>'Procesy - AS IS'!V95+'Procesy - ∆'!V381</f>
        <v>2</v>
      </c>
      <c r="W42" s="653">
        <f>'Procesy - AS IS'!W95+'Procesy - ∆'!W381</f>
        <v>0</v>
      </c>
      <c r="X42" s="653">
        <f>'Procesy - AS IS'!X95+'Procesy - ∆'!X381</f>
        <v>0</v>
      </c>
      <c r="Y42" s="653">
        <f>'Procesy - AS IS'!Y95+'Procesy - ∆'!Y381</f>
        <v>0</v>
      </c>
      <c r="Z42" s="653">
        <f>'Procesy - AS IS'!Z95+'Procesy - ∆'!Z381</f>
        <v>0</v>
      </c>
      <c r="AA42" s="653">
        <f>'Procesy - AS IS'!AA95+'Procesy - ∆'!AA381</f>
        <v>0</v>
      </c>
      <c r="AB42" s="653">
        <f>'Procesy - AS IS'!AB95+'Procesy - ∆'!AB381</f>
        <v>0</v>
      </c>
      <c r="AC42" s="653">
        <f>'Procesy - AS IS'!AC95+'Procesy - ∆'!AC381</f>
        <v>0</v>
      </c>
      <c r="AD42" s="653"/>
      <c r="AE42" s="754">
        <f>SUM(D42:AC42)</f>
        <v>28.852631578947367</v>
      </c>
      <c r="AF42" s="815">
        <f>'Procesy - AS IS'!AG92/2+'Procesy - ∆'!AG381</f>
        <v>90.390368478657422</v>
      </c>
      <c r="AG42" s="822">
        <f>'Procesy - AS IS'!AH92/2+'Procesy - ∆'!AH381</f>
        <v>12.686367505776479</v>
      </c>
      <c r="AH42" s="822">
        <f>'Procesy - AS IS'!AI92/2+'Procesy - ∆'!AI381</f>
        <v>0</v>
      </c>
      <c r="AI42" s="687">
        <f>'Procesy - AS IS'!AJ92/2+'Procesy - ∆'!AJ381</f>
        <v>0</v>
      </c>
      <c r="AK42" s="232"/>
      <c r="AZ42"/>
    </row>
    <row r="43" spans="1:52" ht="45" x14ac:dyDescent="0.25">
      <c r="A43" s="148">
        <f t="shared" ca="1" si="14"/>
        <v>28</v>
      </c>
      <c r="B43" s="234" t="str">
        <f ca="1">'Procesy - AS IS'!B96</f>
        <v>Meranie č. 28</v>
      </c>
      <c r="C43" s="650" t="str">
        <f>'Procesy - AS IS'!C96</f>
        <v>Považská cementáreň, a.s. , Environmentálne označovanie výrobkov, 5706/2018</v>
      </c>
      <c r="D43" s="726">
        <f>'Procesy - AS IS'!D98+'Procesy - ∆'!D395</f>
        <v>0</v>
      </c>
      <c r="E43" s="653">
        <f>'Procesy - AS IS'!E98+'Procesy - ∆'!E395</f>
        <v>6.4</v>
      </c>
      <c r="F43" s="653">
        <f>'Procesy - AS IS'!F98+'Procesy - ∆'!F395</f>
        <v>0</v>
      </c>
      <c r="G43" s="653">
        <f>'Procesy - AS IS'!G98+'Procesy - ∆'!G395</f>
        <v>8.4</v>
      </c>
      <c r="H43" s="653" t="s">
        <v>555</v>
      </c>
      <c r="I43" s="653" t="s">
        <v>555</v>
      </c>
      <c r="J43" s="653" t="s">
        <v>555</v>
      </c>
      <c r="K43" s="653" t="s">
        <v>555</v>
      </c>
      <c r="L43" s="653">
        <f>'Procesy - AS IS'!L98+'Procesy - ∆'!L395</f>
        <v>2.4</v>
      </c>
      <c r="M43" s="653">
        <f>'Procesy - AS IS'!M98+'Procesy - ∆'!M395</f>
        <v>0</v>
      </c>
      <c r="N43" s="653" t="s">
        <v>557</v>
      </c>
      <c r="O43" s="653" t="s">
        <v>559</v>
      </c>
      <c r="P43" s="653">
        <f>'Procesy - AS IS'!P98+'Procesy - ∆'!P395</f>
        <v>4.4000000000000004</v>
      </c>
      <c r="Q43" s="653">
        <f>'Procesy - AS IS'!Q98+'Procesy - ∆'!Q395</f>
        <v>0</v>
      </c>
      <c r="R43" s="653">
        <f>'Procesy - AS IS'!R98+'Procesy - ∆'!R395</f>
        <v>0</v>
      </c>
      <c r="S43" s="653">
        <f>'Procesy - AS IS'!S98+'Procesy - ∆'!S395</f>
        <v>2.4</v>
      </c>
      <c r="T43" s="653">
        <f>'Procesy - AS IS'!T98+'Procesy - ∆'!T395</f>
        <v>0</v>
      </c>
      <c r="U43" s="653">
        <f>'Procesy - AS IS'!U98+'Procesy - ∆'!U395</f>
        <v>2.8</v>
      </c>
      <c r="V43" s="653">
        <f>'Procesy - AS IS'!V98+'Procesy - ∆'!V395</f>
        <v>2</v>
      </c>
      <c r="W43" s="653">
        <f>'Procesy - AS IS'!W98+'Procesy - ∆'!W395</f>
        <v>0</v>
      </c>
      <c r="X43" s="653">
        <f>'Procesy - AS IS'!X98+'Procesy - ∆'!X395</f>
        <v>0</v>
      </c>
      <c r="Y43" s="653">
        <f>'Procesy - AS IS'!Y98+'Procesy - ∆'!Y395</f>
        <v>0</v>
      </c>
      <c r="Z43" s="653">
        <f>'Procesy - AS IS'!Z98+'Procesy - ∆'!Z395</f>
        <v>0</v>
      </c>
      <c r="AA43" s="653">
        <f>'Procesy - AS IS'!AA98+'Procesy - ∆'!AA395</f>
        <v>0</v>
      </c>
      <c r="AB43" s="653">
        <f>'Procesy - AS IS'!AB98+'Procesy - ∆'!AB395</f>
        <v>0</v>
      </c>
      <c r="AC43" s="653">
        <f>'Procesy - AS IS'!AC98+'Procesy - ∆'!AC395</f>
        <v>0</v>
      </c>
      <c r="AD43" s="653"/>
      <c r="AE43" s="754">
        <f>SUM(D43:AC43)</f>
        <v>28.8</v>
      </c>
      <c r="AF43" s="815">
        <f>'Procesy - AS IS'!AG98/2+'Procesy - ∆'!AG395</f>
        <v>32.083333333333336</v>
      </c>
      <c r="AG43" s="822">
        <f>'Procesy - AS IS'!AH98/2+'Procesy - ∆'!AH395</f>
        <v>0</v>
      </c>
      <c r="AH43" s="822">
        <f>'Procesy - AS IS'!AI98/2+'Procesy - ∆'!AI395</f>
        <v>0</v>
      </c>
      <c r="AI43" s="687">
        <f>'Procesy - AS IS'!AJ98/2+'Procesy - ∆'!AJ395</f>
        <v>0</v>
      </c>
      <c r="AK43" s="232"/>
      <c r="AZ43"/>
    </row>
    <row r="44" spans="1:52" ht="42.6" customHeight="1" x14ac:dyDescent="0.25">
      <c r="A44" s="148">
        <f t="shared" ca="1" si="14"/>
        <v>29</v>
      </c>
      <c r="B44" s="234" t="str">
        <f ca="1">'Procesy - AS IS'!B99</f>
        <v>Meranie č. 29</v>
      </c>
      <c r="C44" s="650" t="str">
        <f>'Procesy - AS IS'!C99</f>
        <v xml:space="preserve">Drogéria u Spuchláka, Malacky, Environmentálne označovanie, </v>
      </c>
      <c r="D44" s="726">
        <f>'Procesy - AS IS'!D101+'Procesy - ∆'!D409</f>
        <v>0</v>
      </c>
      <c r="E44" s="653">
        <f>'Procesy - AS IS'!E101+'Procesy - ∆'!E409</f>
        <v>6.4</v>
      </c>
      <c r="F44" s="653">
        <f>'Procesy - AS IS'!F101+'Procesy - ∆'!F409</f>
        <v>0</v>
      </c>
      <c r="G44" s="653">
        <f>'Procesy - AS IS'!G101+'Procesy - ∆'!G409</f>
        <v>8.4</v>
      </c>
      <c r="H44" s="653" t="s">
        <v>555</v>
      </c>
      <c r="I44" s="653" t="s">
        <v>555</v>
      </c>
      <c r="J44" s="653" t="s">
        <v>555</v>
      </c>
      <c r="K44" s="653" t="s">
        <v>555</v>
      </c>
      <c r="L44" s="653">
        <f>'Procesy - AS IS'!L101+'Procesy - ∆'!L409</f>
        <v>2.4</v>
      </c>
      <c r="M44" s="653">
        <f>'Procesy - AS IS'!M101+'Procesy - ∆'!M409</f>
        <v>0</v>
      </c>
      <c r="N44" s="653" t="s">
        <v>557</v>
      </c>
      <c r="O44" s="653" t="s">
        <v>559</v>
      </c>
      <c r="P44" s="653">
        <f>'Procesy - AS IS'!P101+'Procesy - ∆'!P409</f>
        <v>4.4000000000000004</v>
      </c>
      <c r="Q44" s="653">
        <f>'Procesy - AS IS'!Q101+'Procesy - ∆'!Q409</f>
        <v>0</v>
      </c>
      <c r="R44" s="653">
        <f>'Procesy - AS IS'!R101+'Procesy - ∆'!R409</f>
        <v>0</v>
      </c>
      <c r="S44" s="653">
        <f>'Procesy - AS IS'!S101+'Procesy - ∆'!S409</f>
        <v>4.8</v>
      </c>
      <c r="T44" s="653">
        <f>'Procesy - AS IS'!T101+'Procesy - ∆'!T409</f>
        <v>0</v>
      </c>
      <c r="U44" s="653">
        <f>'Procesy - AS IS'!U101+'Procesy - ∆'!U409</f>
        <v>0</v>
      </c>
      <c r="V44" s="653">
        <f>'Procesy - AS IS'!V101+'Procesy - ∆'!V409</f>
        <v>1.94</v>
      </c>
      <c r="W44" s="653">
        <f>'Procesy - AS IS'!W101+'Procesy - ∆'!W409</f>
        <v>0</v>
      </c>
      <c r="X44" s="653">
        <f>'Procesy - AS IS'!X101+'Procesy - ∆'!X409</f>
        <v>0</v>
      </c>
      <c r="Y44" s="653">
        <f>'Procesy - AS IS'!Y101+'Procesy - ∆'!Y409</f>
        <v>0</v>
      </c>
      <c r="Z44" s="653">
        <f>'Procesy - AS IS'!Z101+'Procesy - ∆'!Z409</f>
        <v>0</v>
      </c>
      <c r="AA44" s="653">
        <f>'Procesy - AS IS'!AA101+'Procesy - ∆'!AA409</f>
        <v>0</v>
      </c>
      <c r="AB44" s="653">
        <f>'Procesy - AS IS'!AB101+'Procesy - ∆'!AB409</f>
        <v>0</v>
      </c>
      <c r="AC44" s="653">
        <f>'Procesy - AS IS'!AC101+'Procesy - ∆'!AC409</f>
        <v>0</v>
      </c>
      <c r="AD44" s="653"/>
      <c r="AE44" s="754">
        <f>SUM(D44:AC44)</f>
        <v>28.340000000000003</v>
      </c>
      <c r="AF44" s="815">
        <f>'Procesy - AS IS'!AG98/2+'Procesy - ∆'!AG409</f>
        <v>32.515172900493994</v>
      </c>
      <c r="AG44" s="822">
        <f>'Procesy - AS IS'!AH98/2+'Procesy - ∆'!AH409</f>
        <v>0</v>
      </c>
      <c r="AH44" s="822">
        <f>'Procesy - AS IS'!AI98/2+'Procesy - ∆'!AI409</f>
        <v>0</v>
      </c>
      <c r="AI44" s="687">
        <f>'Procesy - AS IS'!AJ98/2+'Procesy - ∆'!AJ409</f>
        <v>0</v>
      </c>
      <c r="AK44" s="232"/>
      <c r="AZ44"/>
    </row>
    <row r="45" spans="1:52" ht="15.75" thickBot="1" x14ac:dyDescent="0.3">
      <c r="A45" s="148"/>
      <c r="B45" s="741"/>
      <c r="C45" s="742" t="s">
        <v>588</v>
      </c>
      <c r="D45" s="743"/>
      <c r="E45" s="743"/>
      <c r="F45" s="743"/>
      <c r="G45" s="744"/>
      <c r="H45" s="744"/>
      <c r="I45" s="744"/>
      <c r="J45" s="744"/>
      <c r="K45" s="744"/>
      <c r="L45" s="744"/>
      <c r="M45" s="744"/>
      <c r="N45" s="744"/>
      <c r="O45" s="744"/>
      <c r="P45" s="744"/>
      <c r="Q45" s="744"/>
      <c r="R45" s="744"/>
      <c r="S45" s="744"/>
      <c r="T45" s="744"/>
      <c r="U45" s="744"/>
      <c r="V45" s="744"/>
      <c r="W45" s="744"/>
      <c r="X45" s="744"/>
      <c r="Y45" s="744"/>
      <c r="Z45" s="744"/>
      <c r="AA45" s="744"/>
      <c r="AB45" s="744"/>
      <c r="AC45" s="744"/>
      <c r="AD45" s="744"/>
      <c r="AE45" s="751"/>
      <c r="AF45" s="817">
        <f>'Procesy - AS IS'!AG102+'Procesy - ∆'!AG423</f>
        <v>6.1548255051535392</v>
      </c>
      <c r="AG45" s="823">
        <f>'Procesy - AS IS'!AH102+'Procesy - ∆'!AH423</f>
        <v>0</v>
      </c>
      <c r="AH45" s="823">
        <f>'Procesy - AS IS'!AI102+'Procesy - ∆'!AI423</f>
        <v>0</v>
      </c>
      <c r="AI45" s="745">
        <f>'Procesy - AS IS'!AJ102+'Procesy - ∆'!AJ423</f>
        <v>0</v>
      </c>
      <c r="AK45" s="232"/>
      <c r="AZ45"/>
    </row>
    <row r="46" spans="1:52" x14ac:dyDescent="0.25">
      <c r="A46" s="148"/>
      <c r="B46" s="657" t="str">
        <f>'Procesy - AS IS'!B103</f>
        <v>Zdroj 6</v>
      </c>
      <c r="C46" s="658" t="str">
        <f>'Procesy - AS IS'!C103</f>
        <v>Integrované povoľovanie a kontrola</v>
      </c>
      <c r="D46" s="726">
        <f>D47*$AF47/($AF46-$AF48)</f>
        <v>0</v>
      </c>
      <c r="E46" s="651">
        <f>E47*$AF47/($AF46-$AF48)</f>
        <v>0</v>
      </c>
      <c r="F46" s="651">
        <f>F47*$AF47/($AF46-$AF48)</f>
        <v>0</v>
      </c>
      <c r="G46" s="661">
        <f>G47*$AF47/($AF46-$AF48)</f>
        <v>19.600000000000001</v>
      </c>
      <c r="H46" s="654"/>
      <c r="I46" s="654"/>
      <c r="J46" s="654"/>
      <c r="K46" s="654"/>
      <c r="L46" s="654"/>
      <c r="M46" s="661">
        <f>M47*$AF47/($AF46-$AF48)</f>
        <v>0</v>
      </c>
      <c r="N46" s="651"/>
      <c r="O46" s="651"/>
      <c r="P46" s="651">
        <f t="shared" ref="P46:AC46" si="18">P47*$AF47/($AF46-$AF48)</f>
        <v>1.65</v>
      </c>
      <c r="Q46" s="651">
        <f t="shared" si="18"/>
        <v>0</v>
      </c>
      <c r="R46" s="651">
        <f t="shared" si="18"/>
        <v>0</v>
      </c>
      <c r="S46" s="651">
        <f t="shared" si="18"/>
        <v>0</v>
      </c>
      <c r="T46" s="651">
        <f t="shared" si="18"/>
        <v>2.1366906474820144</v>
      </c>
      <c r="U46" s="651">
        <f t="shared" si="18"/>
        <v>0</v>
      </c>
      <c r="V46" s="651">
        <f t="shared" si="18"/>
        <v>0.25</v>
      </c>
      <c r="W46" s="651">
        <f t="shared" si="18"/>
        <v>0.58417266187050365</v>
      </c>
      <c r="X46" s="651">
        <f t="shared" si="18"/>
        <v>0</v>
      </c>
      <c r="Y46" s="651">
        <f t="shared" si="18"/>
        <v>3.7553956834532372</v>
      </c>
      <c r="Z46" s="651">
        <f t="shared" si="18"/>
        <v>3.3723021582733811E-2</v>
      </c>
      <c r="AA46" s="651">
        <f t="shared" si="18"/>
        <v>8.9928057553956831E-2</v>
      </c>
      <c r="AB46" s="651">
        <f t="shared" si="18"/>
        <v>0</v>
      </c>
      <c r="AC46" s="652">
        <f t="shared" si="18"/>
        <v>45.323741007194251</v>
      </c>
      <c r="AD46" s="651"/>
      <c r="AE46" s="752">
        <f>SUM(AE47:AE47)</f>
        <v>73.42365107913669</v>
      </c>
      <c r="AF46" s="816">
        <f>SUM(AF47:AF47)</f>
        <v>381.83200628068846</v>
      </c>
      <c r="AG46" s="766">
        <f>SUM(AG47:AG47)</f>
        <v>135.97614612154013</v>
      </c>
      <c r="AH46" s="822">
        <v>175</v>
      </c>
      <c r="AI46" s="688">
        <v>19</v>
      </c>
      <c r="AK46" s="232"/>
      <c r="AZ46"/>
    </row>
    <row r="47" spans="1:52" ht="45" x14ac:dyDescent="0.25">
      <c r="A47" s="148">
        <f ca="1">OFFSET(A47,-3,0)+1</f>
        <v>30</v>
      </c>
      <c r="B47" s="668" t="str">
        <f ca="1">'Procesy - AS IS'!B104</f>
        <v>Meranie č. 30</v>
      </c>
      <c r="C47" s="671" t="str">
        <f>'Procesy - AS IS'!C104</f>
        <v>Slovnaft, LDPE4 - Nová výrobnňa polyetylénu, 2370-13658/37/2013/Tot,Heg/370190306</v>
      </c>
      <c r="D47" s="726">
        <f>'Procesy - AS IS'!D106+'Procesy - ∆'!D425</f>
        <v>0</v>
      </c>
      <c r="E47" s="653">
        <f>'Procesy - AS IS'!E106+'Procesy - ∆'!E425</f>
        <v>0</v>
      </c>
      <c r="F47" s="653">
        <f>'Procesy - AS IS'!F106+'Procesy - ∆'!F425</f>
        <v>0</v>
      </c>
      <c r="G47" s="653">
        <f>'Procesy - AS IS'!G106+'Procesy - ∆'!G425</f>
        <v>19.600000000000001</v>
      </c>
      <c r="H47" s="653" t="s">
        <v>555</v>
      </c>
      <c r="I47" s="653" t="s">
        <v>555</v>
      </c>
      <c r="J47" s="653" t="s">
        <v>555</v>
      </c>
      <c r="K47" s="653" t="s">
        <v>555</v>
      </c>
      <c r="L47" s="653" t="s">
        <v>555</v>
      </c>
      <c r="M47" s="653">
        <f>'Procesy - AS IS'!M106+'Procesy - ∆'!M425</f>
        <v>0</v>
      </c>
      <c r="N47" s="653" t="s">
        <v>555</v>
      </c>
      <c r="O47" s="653" t="s">
        <v>559</v>
      </c>
      <c r="P47" s="653">
        <f>'Procesy - AS IS'!P106+'Procesy - ∆'!P425</f>
        <v>1.65</v>
      </c>
      <c r="Q47" s="653">
        <f>'Procesy - AS IS'!Q106+'Procesy - ∆'!Q425</f>
        <v>0</v>
      </c>
      <c r="R47" s="653">
        <f>'Procesy - AS IS'!R106+'Procesy - ∆'!R425</f>
        <v>0</v>
      </c>
      <c r="S47" s="653">
        <f>'Procesy - AS IS'!S106+'Procesy - ∆'!S425</f>
        <v>0</v>
      </c>
      <c r="T47" s="653">
        <f>'Procesy - AS IS'!T106+'Procesy - ∆'!T425</f>
        <v>2.1366906474820144</v>
      </c>
      <c r="U47" s="653">
        <f>'Procesy - AS IS'!U106+'Procesy - ∆'!U425</f>
        <v>0</v>
      </c>
      <c r="V47" s="653">
        <f>'Procesy - AS IS'!V106+'Procesy - ∆'!V425</f>
        <v>0.25</v>
      </c>
      <c r="W47" s="653">
        <f>'Procesy - AS IS'!W106+'Procesy - ∆'!W425</f>
        <v>0.58417266187050365</v>
      </c>
      <c r="X47" s="653">
        <f>'Procesy - AS IS'!X106+'Procesy - ∆'!X425</f>
        <v>0</v>
      </c>
      <c r="Y47" s="653">
        <f>'Procesy - AS IS'!Y106+'Procesy - ∆'!Y425</f>
        <v>3.7553956834532372</v>
      </c>
      <c r="Z47" s="653">
        <f>'Procesy - AS IS'!Z106+'Procesy - ∆'!Z425</f>
        <v>3.3723021582733811E-2</v>
      </c>
      <c r="AA47" s="653">
        <f>'Procesy - AS IS'!AA106+'Procesy - ∆'!AA425</f>
        <v>8.9928057553956831E-2</v>
      </c>
      <c r="AB47" s="653">
        <f>'Procesy - AS IS'!AB106+'Procesy - ∆'!AB425</f>
        <v>0</v>
      </c>
      <c r="AC47" s="653">
        <f>'Procesy - AS IS'!AC106+'Procesy - ∆'!AC425</f>
        <v>45.323741007194243</v>
      </c>
      <c r="AD47" s="653"/>
      <c r="AE47" s="754">
        <f>SUM(D47:AC47)</f>
        <v>73.42365107913669</v>
      </c>
      <c r="AF47" s="815">
        <f>'Procesy - AS IS'!AG106+'Procesy - ∆'!AG425</f>
        <v>381.83200628068846</v>
      </c>
      <c r="AG47" s="822">
        <f>'Procesy - AS IS'!AH106+'Procesy - ∆'!AH425</f>
        <v>135.97614612154013</v>
      </c>
      <c r="AH47" s="822">
        <f>'Procesy - AS IS'!AI106+'Procesy - ∆'!AI425</f>
        <v>79.662792677265941</v>
      </c>
      <c r="AI47" s="687">
        <f>'Procesy - AS IS'!AJ106+'Procesy - ∆'!AJ425</f>
        <v>34.337410636752558</v>
      </c>
      <c r="AK47" s="232"/>
      <c r="AZ47"/>
    </row>
    <row r="48" spans="1:52" x14ac:dyDescent="0.25">
      <c r="A48" s="148"/>
      <c r="B48" s="767"/>
      <c r="C48" s="768" t="s">
        <v>588</v>
      </c>
      <c r="D48" s="769"/>
      <c r="E48" s="769"/>
      <c r="F48" s="769"/>
      <c r="G48" s="770"/>
      <c r="H48" s="770"/>
      <c r="I48" s="770"/>
      <c r="J48" s="770"/>
      <c r="K48" s="770"/>
      <c r="L48" s="770"/>
      <c r="M48" s="770"/>
      <c r="N48" s="770"/>
      <c r="O48" s="770"/>
      <c r="P48" s="770"/>
      <c r="Q48" s="770"/>
      <c r="R48" s="770"/>
      <c r="S48" s="770"/>
      <c r="T48" s="770"/>
      <c r="U48" s="770"/>
      <c r="V48" s="770"/>
      <c r="W48" s="770"/>
      <c r="X48" s="770"/>
      <c r="Y48" s="770"/>
      <c r="Z48" s="770"/>
      <c r="AA48" s="770"/>
      <c r="AB48" s="770"/>
      <c r="AC48" s="770"/>
      <c r="AD48" s="770"/>
      <c r="AE48" s="806"/>
      <c r="AF48" s="818">
        <f>'Procesy - AS IS'!AG107+'Procesy - ∆'!AG439</f>
        <v>0</v>
      </c>
      <c r="AG48" s="824">
        <f>'Procesy - AS IS'!AH107+'Procesy - ∆'!AH439</f>
        <v>0</v>
      </c>
      <c r="AH48" s="824">
        <f>'Procesy - AS IS'!AI107+'Procesy - ∆'!AI439</f>
        <v>0</v>
      </c>
      <c r="AI48" s="785">
        <f>'Procesy - AS IS'!AJ107+'Procesy - ∆'!AJ439</f>
        <v>0</v>
      </c>
      <c r="AK48" s="232"/>
      <c r="AZ48"/>
    </row>
    <row r="49" spans="1:52" ht="7.35" customHeight="1" thickBot="1" x14ac:dyDescent="0.3">
      <c r="A49" s="148"/>
      <c r="B49" s="775"/>
      <c r="C49" s="776"/>
      <c r="D49" s="777"/>
      <c r="E49" s="778"/>
      <c r="F49" s="778"/>
      <c r="G49" s="779"/>
      <c r="H49" s="779"/>
      <c r="I49" s="779"/>
      <c r="J49" s="779"/>
      <c r="K49" s="779"/>
      <c r="L49" s="779"/>
      <c r="M49" s="779"/>
      <c r="N49" s="779"/>
      <c r="O49" s="779"/>
      <c r="P49" s="779"/>
      <c r="Q49" s="779"/>
      <c r="R49" s="779"/>
      <c r="S49" s="779"/>
      <c r="T49" s="779"/>
      <c r="U49" s="779"/>
      <c r="V49" s="779"/>
      <c r="W49" s="779"/>
      <c r="X49" s="779"/>
      <c r="Y49" s="779"/>
      <c r="Z49" s="779"/>
      <c r="AA49" s="779"/>
      <c r="AB49" s="779"/>
      <c r="AC49" s="778"/>
      <c r="AD49" s="778"/>
      <c r="AE49" s="807"/>
      <c r="AF49" s="819"/>
      <c r="AG49" s="819"/>
      <c r="AH49" s="819"/>
      <c r="AI49" s="810"/>
      <c r="AK49" s="232"/>
      <c r="AZ49"/>
    </row>
    <row r="50" spans="1:52" x14ac:dyDescent="0.25">
      <c r="AE50" s="690"/>
      <c r="AF50" s="690"/>
      <c r="AG50" s="690"/>
      <c r="AI50" s="690"/>
      <c r="AZ50"/>
    </row>
    <row r="51" spans="1:52" x14ac:dyDescent="0.25">
      <c r="B51" t="s">
        <v>625</v>
      </c>
      <c r="AE51" s="690"/>
      <c r="AF51" s="937">
        <f>'Procesy - ∆'!AG445</f>
        <v>145.0576386766358</v>
      </c>
      <c r="AG51" s="937">
        <f>+'Procesy - ∆'!AH445</f>
        <v>49.610504407646339</v>
      </c>
      <c r="AH51" s="937">
        <f>+'Procesy - ∆'!AI445</f>
        <v>32.174254760714099</v>
      </c>
      <c r="AI51" s="937">
        <f>+'Procesy - ∆'!AJ445</f>
        <v>5.2421702901417229</v>
      </c>
      <c r="AZ51"/>
    </row>
    <row r="52" spans="1:52" x14ac:dyDescent="0.25">
      <c r="B52" t="s">
        <v>549</v>
      </c>
      <c r="AF52" s="952">
        <f>AF4+AF51</f>
        <v>4170.40711195328</v>
      </c>
      <c r="AG52" s="952">
        <f>AG4+AG51</f>
        <v>1426.3020017198323</v>
      </c>
      <c r="AH52" s="952">
        <f>AH4+AH51</f>
        <v>1003.6727518643286</v>
      </c>
      <c r="AI52" s="952">
        <f>AI4+AI51</f>
        <v>112.40471206980763</v>
      </c>
      <c r="AZ52"/>
    </row>
    <row r="53" spans="1:52" x14ac:dyDescent="0.25">
      <c r="AI53" s="690"/>
      <c r="AZ53"/>
    </row>
    <row r="54" spans="1:52" x14ac:dyDescent="0.25">
      <c r="B54" t="str">
        <f>"S prírastkom počtu kontrol so zistením ("&amp;TEXT(AE54,"0%")&amp;" celkového počtu kontrol)"</f>
        <v>S prírastkom počtu kontrol so zistením (40% celkového počtu kontrol)</v>
      </c>
      <c r="AE54" s="677">
        <f>Faktory!$D$19</f>
        <v>0.4</v>
      </c>
      <c r="AF54" s="953">
        <f>AF4+AF51</f>
        <v>4170.40711195328</v>
      </c>
      <c r="AG54" s="953">
        <f>AE54*AF52</f>
        <v>1668.1628447813121</v>
      </c>
      <c r="AH54" s="953" t="s">
        <v>314</v>
      </c>
      <c r="AI54" s="953" t="s">
        <v>314</v>
      </c>
      <c r="AZ54"/>
    </row>
    <row r="55" spans="1:52" x14ac:dyDescent="0.25">
      <c r="B55" t="s">
        <v>553</v>
      </c>
      <c r="AF55" s="811">
        <f>AF54/'Procesy - AS IS'!AG4-1</f>
        <v>0.56841185105426106</v>
      </c>
      <c r="AG55" s="811">
        <f>AG54/'Procesy - AS IS'!AH4-1</f>
        <v>0.85351427197923568</v>
      </c>
      <c r="AH55" s="811" t="s">
        <v>314</v>
      </c>
      <c r="AI55" s="811" t="s">
        <v>314</v>
      </c>
      <c r="AZ55"/>
    </row>
    <row r="60" spans="1:52" x14ac:dyDescent="0.25">
      <c r="AZ60"/>
    </row>
  </sheetData>
  <conditionalFormatting sqref="D14:AE14">
    <cfRule type="cellIs" dxfId="11" priority="249" operator="equal">
      <formula>"N"</formula>
    </cfRule>
    <cfRule type="cellIs" dxfId="10" priority="250" operator="equal">
      <formula>"A"</formula>
    </cfRule>
  </conditionalFormatting>
  <conditionalFormatting sqref="D23:AF23">
    <cfRule type="cellIs" dxfId="9" priority="89" operator="equal">
      <formula>"N"</formula>
    </cfRule>
    <cfRule type="cellIs" dxfId="8" priority="90" operator="equal">
      <formula>"A"</formula>
    </cfRule>
  </conditionalFormatting>
  <conditionalFormatting sqref="D32:AF32">
    <cfRule type="cellIs" dxfId="7" priority="87" operator="equal">
      <formula>"N"</formula>
    </cfRule>
    <cfRule type="cellIs" dxfId="6" priority="88" operator="equal">
      <formula>"A"</formula>
    </cfRule>
  </conditionalFormatting>
  <conditionalFormatting sqref="D38:AF38">
    <cfRule type="cellIs" dxfId="5" priority="63" operator="equal">
      <formula>"N"</formula>
    </cfRule>
    <cfRule type="cellIs" dxfId="4" priority="64" operator="equal">
      <formula>"A"</formula>
    </cfRule>
  </conditionalFormatting>
  <conditionalFormatting sqref="D45:AF45">
    <cfRule type="cellIs" dxfId="3" priority="17" operator="equal">
      <formula>"N"</formula>
    </cfRule>
    <cfRule type="cellIs" dxfId="2" priority="18" operator="equal">
      <formula>"A"</formula>
    </cfRule>
  </conditionalFormatting>
  <conditionalFormatting sqref="D48:AF48">
    <cfRule type="cellIs" dxfId="1" priority="1" operator="equal">
      <formula>"N"</formula>
    </cfRule>
    <cfRule type="cellIs" dxfId="0" priority="2" operator="equal">
      <formula>"A"</formula>
    </cfRule>
  </conditionalFormatting>
  <pageMargins left="0.7" right="0.7" top="0.75" bottom="0.75" header="0.3" footer="0.3"/>
  <pageSetup paperSize="9" scale="67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41"/>
  <sheetViews>
    <sheetView showGridLines="0" zoomScaleNormal="100" workbookViewId="0">
      <pane xSplit="1" ySplit="1" topLeftCell="B2" activePane="bottomRight" state="frozen"/>
      <selection activeCell="C47" sqref="C47"/>
      <selection pane="topRight" activeCell="C47" sqref="C47"/>
      <selection pane="bottomLeft" activeCell="C47" sqref="C47"/>
      <selection pane="bottomRight" activeCell="C47" sqref="C47"/>
    </sheetView>
  </sheetViews>
  <sheetFormatPr defaultColWidth="8.85546875" defaultRowHeight="14.25" x14ac:dyDescent="0.2"/>
  <cols>
    <col min="1" max="1" width="26.140625" style="81" customWidth="1"/>
    <col min="2" max="2" width="8.85546875" style="942" customWidth="1"/>
    <col min="3" max="3" width="8.85546875" style="850" customWidth="1"/>
    <col min="4" max="4" width="13" style="850" customWidth="1"/>
    <col min="5" max="5" width="13.85546875" style="850" customWidth="1"/>
    <col min="6" max="6" width="11.140625" style="81" bestFit="1" customWidth="1"/>
    <col min="7" max="7" width="12.85546875" style="81" customWidth="1"/>
    <col min="8" max="16384" width="8.85546875" style="81"/>
  </cols>
  <sheetData>
    <row r="1" spans="1:7" s="938" customFormat="1" ht="45" x14ac:dyDescent="0.25">
      <c r="A1" s="938" t="s">
        <v>609</v>
      </c>
      <c r="B1" s="939" t="s">
        <v>610</v>
      </c>
      <c r="C1" s="940" t="s">
        <v>611</v>
      </c>
      <c r="D1" s="940" t="s">
        <v>613</v>
      </c>
      <c r="E1" s="940" t="s">
        <v>759</v>
      </c>
      <c r="F1" s="941" t="s">
        <v>612</v>
      </c>
      <c r="G1" s="941" t="s">
        <v>614</v>
      </c>
    </row>
    <row r="2" spans="1:7" x14ac:dyDescent="0.2">
      <c r="A2" s="81" t="str">
        <f ca="1">'Procesy - AS IS'!B59</f>
        <v>Meranie č. 17</v>
      </c>
      <c r="B2" s="942">
        <f>'Procesy - AS IS'!AD61</f>
        <v>26.120447976878612</v>
      </c>
      <c r="C2" s="850">
        <f>'Procesy - AS IS'!AG61</f>
        <v>40</v>
      </c>
      <c r="D2" s="850">
        <f>C2</f>
        <v>40</v>
      </c>
      <c r="E2" s="850">
        <f t="shared" ref="E2:E29" ca="1" si="0">C2+OFFSET(E2,1,0)</f>
        <v>2420</v>
      </c>
      <c r="F2" s="942">
        <f t="shared" ref="F2:F31" si="1">B2*C2</f>
        <v>1044.8179190751446</v>
      </c>
      <c r="G2" s="81">
        <f t="shared" ref="G2:G31" si="2">C2*(B2-$B$36)^2</f>
        <v>62460.24766201264</v>
      </c>
    </row>
    <row r="3" spans="1:7" x14ac:dyDescent="0.2">
      <c r="A3" s="81" t="str">
        <f ca="1">'Procesy - AS IS'!B39</f>
        <v>Meranie č. 11</v>
      </c>
      <c r="B3" s="942">
        <f>'Procesy - AS IS'!AD41</f>
        <v>29.25</v>
      </c>
      <c r="C3" s="850">
        <f>'Procesy - AS IS'!AG41/2</f>
        <v>18</v>
      </c>
      <c r="D3" s="850">
        <f t="shared" ref="D3:D31" ca="1" si="3">C3+OFFSET(D3,-1,0)</f>
        <v>58</v>
      </c>
      <c r="E3" s="850">
        <f t="shared" ca="1" si="0"/>
        <v>2380</v>
      </c>
      <c r="F3" s="942">
        <f t="shared" si="1"/>
        <v>526.5</v>
      </c>
      <c r="G3" s="81">
        <f t="shared" si="2"/>
        <v>23831.391070910584</v>
      </c>
    </row>
    <row r="4" spans="1:7" x14ac:dyDescent="0.2">
      <c r="A4" s="81" t="str">
        <f ca="1">'Procesy - AS IS'!B42</f>
        <v>Meranie č. 12</v>
      </c>
      <c r="B4" s="942">
        <f>'Procesy - AS IS'!AD44</f>
        <v>29.25</v>
      </c>
      <c r="C4" s="850">
        <f>'Procesy - AS IS'!AG41/2</f>
        <v>18</v>
      </c>
      <c r="D4" s="850">
        <f t="shared" ca="1" si="3"/>
        <v>76</v>
      </c>
      <c r="E4" s="850">
        <f t="shared" ca="1" si="0"/>
        <v>2362</v>
      </c>
      <c r="F4" s="942">
        <f t="shared" si="1"/>
        <v>526.5</v>
      </c>
      <c r="G4" s="81">
        <f t="shared" si="2"/>
        <v>23831.391070910584</v>
      </c>
    </row>
    <row r="5" spans="1:7" x14ac:dyDescent="0.2">
      <c r="A5" s="81" t="str">
        <f ca="1">'Procesy - AS IS'!B53</f>
        <v>Meranie č. 15</v>
      </c>
      <c r="B5" s="942">
        <f>'Procesy - AS IS'!AD55</f>
        <v>32.921734446078602</v>
      </c>
      <c r="C5" s="850">
        <f>'Procesy - AS IS'!AG52/2</f>
        <v>84.5</v>
      </c>
      <c r="D5" s="850">
        <f t="shared" ca="1" si="3"/>
        <v>160.5</v>
      </c>
      <c r="E5" s="850">
        <f t="shared" ca="1" si="0"/>
        <v>2344</v>
      </c>
      <c r="F5" s="942">
        <f t="shared" si="1"/>
        <v>2781.886560693642</v>
      </c>
      <c r="G5" s="81">
        <f t="shared" si="2"/>
        <v>90435.770519556027</v>
      </c>
    </row>
    <row r="6" spans="1:7" x14ac:dyDescent="0.2">
      <c r="A6" s="81" t="str">
        <f ca="1">'Procesy - AS IS'!B56</f>
        <v>Meranie č. 16</v>
      </c>
      <c r="B6" s="942">
        <f>'Procesy - AS IS'!AD58</f>
        <v>33.885998715478486</v>
      </c>
      <c r="C6" s="850">
        <f>'Procesy - AS IS'!AG58</f>
        <v>45</v>
      </c>
      <c r="D6" s="850">
        <f t="shared" ca="1" si="3"/>
        <v>205.5</v>
      </c>
      <c r="E6" s="850">
        <f t="shared" ca="1" si="0"/>
        <v>2259.5</v>
      </c>
      <c r="F6" s="942">
        <f t="shared" si="1"/>
        <v>1524.8699421965318</v>
      </c>
      <c r="G6" s="81">
        <f t="shared" si="2"/>
        <v>45363.804689317338</v>
      </c>
    </row>
    <row r="7" spans="1:7" x14ac:dyDescent="0.2">
      <c r="A7" s="81" t="str">
        <f ca="1">'Procesy - AS IS'!B73</f>
        <v>Meranie č. 21</v>
      </c>
      <c r="B7" s="942">
        <f>'Procesy - AS IS'!AD75</f>
        <v>36.149515738498792</v>
      </c>
      <c r="C7" s="850">
        <f>'Procesy - AS IS'!AG75/2</f>
        <v>206.5</v>
      </c>
      <c r="D7" s="850">
        <f t="shared" ca="1" si="3"/>
        <v>412</v>
      </c>
      <c r="E7" s="850">
        <f t="shared" ca="1" si="0"/>
        <v>2214.5</v>
      </c>
      <c r="F7" s="942">
        <f t="shared" si="1"/>
        <v>7464.8750000000009</v>
      </c>
      <c r="G7" s="81">
        <f t="shared" si="2"/>
        <v>179546.20653271451</v>
      </c>
    </row>
    <row r="8" spans="1:7" x14ac:dyDescent="0.2">
      <c r="A8" s="81" t="str">
        <f ca="1">'Procesy - AS IS'!B76</f>
        <v>Meranie č. 22</v>
      </c>
      <c r="B8" s="942">
        <f>'Procesy - AS IS'!AD78</f>
        <v>37.314164648910413</v>
      </c>
      <c r="C8" s="850">
        <f>'Procesy - AS IS'!AG75/2</f>
        <v>206.5</v>
      </c>
      <c r="D8" s="850">
        <f t="shared" ca="1" si="3"/>
        <v>618.5</v>
      </c>
      <c r="E8" s="850">
        <f t="shared" ca="1" si="0"/>
        <v>2008</v>
      </c>
      <c r="F8" s="942">
        <f t="shared" si="1"/>
        <v>7705.375</v>
      </c>
      <c r="G8" s="81">
        <f t="shared" si="2"/>
        <v>165643.13927045971</v>
      </c>
    </row>
    <row r="9" spans="1:7" x14ac:dyDescent="0.2">
      <c r="A9" s="81" t="str">
        <f ca="1">'Procesy - AS IS'!B36</f>
        <v>Meranie č. 10</v>
      </c>
      <c r="B9" s="942">
        <f>'Procesy - AS IS'!AD38</f>
        <v>38.267543859649123</v>
      </c>
      <c r="C9" s="850">
        <f>'Procesy - AS IS'!AG38</f>
        <v>171</v>
      </c>
      <c r="D9" s="850">
        <f t="shared" ca="1" si="3"/>
        <v>789.5</v>
      </c>
      <c r="E9" s="850">
        <f t="shared" ca="1" si="0"/>
        <v>1801.5</v>
      </c>
      <c r="F9" s="942">
        <f t="shared" si="1"/>
        <v>6543.75</v>
      </c>
      <c r="G9" s="81">
        <f t="shared" si="2"/>
        <v>128087.77693725449</v>
      </c>
    </row>
    <row r="10" spans="1:7" x14ac:dyDescent="0.2">
      <c r="A10" s="81" t="str">
        <f ca="1">'Procesy - AS IS'!B90</f>
        <v>Meranie č. 26</v>
      </c>
      <c r="B10" s="942">
        <f>'Procesy - AS IS'!AD92</f>
        <v>41.245614035087712</v>
      </c>
      <c r="C10" s="850">
        <f>'Procesy - AS IS'!AG92/2</f>
        <v>57</v>
      </c>
      <c r="D10" s="850">
        <f t="shared" ca="1" si="3"/>
        <v>846.5</v>
      </c>
      <c r="E10" s="850">
        <f t="shared" ca="1" si="0"/>
        <v>1630.5</v>
      </c>
      <c r="F10" s="942">
        <f t="shared" si="1"/>
        <v>2350.9999999999995</v>
      </c>
      <c r="G10" s="81">
        <f t="shared" si="2"/>
        <v>33909.744752962368</v>
      </c>
    </row>
    <row r="11" spans="1:7" x14ac:dyDescent="0.2">
      <c r="A11" s="81" t="str">
        <f ca="1">'Procesy - AS IS'!B99</f>
        <v>Meranie č. 29</v>
      </c>
      <c r="B11" s="942">
        <f>'Procesy - AS IS'!AD101</f>
        <v>43.88</v>
      </c>
      <c r="C11" s="850">
        <f>'Procesy - AS IS'!AG98/2</f>
        <v>21</v>
      </c>
      <c r="D11" s="850">
        <f t="shared" ca="1" si="3"/>
        <v>867.5</v>
      </c>
      <c r="E11" s="850">
        <f t="shared" ca="1" si="0"/>
        <v>1573.5</v>
      </c>
      <c r="F11" s="942">
        <f t="shared" si="1"/>
        <v>921.48</v>
      </c>
      <c r="G11" s="81">
        <f t="shared" si="2"/>
        <v>9940.1103586252739</v>
      </c>
    </row>
    <row r="12" spans="1:7" x14ac:dyDescent="0.2">
      <c r="A12" s="81" t="str">
        <f ca="1">'Procesy - AS IS'!B96</f>
        <v>Meranie č. 28</v>
      </c>
      <c r="B12" s="942">
        <f>'Procesy - AS IS'!AD98</f>
        <v>44</v>
      </c>
      <c r="C12" s="850">
        <f>'Procesy - AS IS'!AG98/2</f>
        <v>21</v>
      </c>
      <c r="D12" s="850">
        <f t="shared" ca="1" si="3"/>
        <v>888.5</v>
      </c>
      <c r="E12" s="850">
        <f t="shared" ca="1" si="0"/>
        <v>1552.5</v>
      </c>
      <c r="F12" s="942">
        <f t="shared" si="1"/>
        <v>924</v>
      </c>
      <c r="G12" s="81">
        <f t="shared" si="2"/>
        <v>9830.7607751056294</v>
      </c>
    </row>
    <row r="13" spans="1:7" x14ac:dyDescent="0.2">
      <c r="A13" s="81" t="str">
        <f ca="1">'Procesy - AS IS'!B93</f>
        <v>Meranie č. 27</v>
      </c>
      <c r="B13" s="942">
        <f>'Procesy - AS IS'!AD95</f>
        <v>45.754385964912281</v>
      </c>
      <c r="C13" s="850">
        <f>'Procesy - AS IS'!AG92/2</f>
        <v>57</v>
      </c>
      <c r="D13" s="850">
        <f t="shared" ca="1" si="3"/>
        <v>945.5</v>
      </c>
      <c r="E13" s="850">
        <f t="shared" ca="1" si="0"/>
        <v>1531.5</v>
      </c>
      <c r="F13" s="942">
        <f t="shared" si="1"/>
        <v>2608</v>
      </c>
      <c r="G13" s="81">
        <f t="shared" si="2"/>
        <v>22531.662941633178</v>
      </c>
    </row>
    <row r="14" spans="1:7" x14ac:dyDescent="0.2">
      <c r="A14" s="81" t="str">
        <f ca="1">'Procesy - AS IS'!B33</f>
        <v>Meranie č. 9</v>
      </c>
      <c r="B14" s="942">
        <f>'Procesy - AS IS'!AD35</f>
        <v>46.246503496503493</v>
      </c>
      <c r="C14" s="850">
        <f>'Procesy - AS IS'!AG32/2</f>
        <v>71.5</v>
      </c>
      <c r="D14" s="850">
        <f t="shared" ca="1" si="3"/>
        <v>1017</v>
      </c>
      <c r="E14" s="850">
        <f t="shared" ca="1" si="0"/>
        <v>1474.5</v>
      </c>
      <c r="F14" s="942">
        <f t="shared" si="1"/>
        <v>3306.6249999999995</v>
      </c>
      <c r="G14" s="81">
        <f t="shared" si="2"/>
        <v>26881.568273952413</v>
      </c>
    </row>
    <row r="15" spans="1:7" x14ac:dyDescent="0.2">
      <c r="A15" s="81" t="str">
        <f ca="1">'Procesy - AS IS'!B45</f>
        <v>Meranie č. 13</v>
      </c>
      <c r="B15" s="942">
        <f>'Procesy - AS IS'!AD47</f>
        <v>46.75</v>
      </c>
      <c r="C15" s="850">
        <f>'Procesy - AS IS'!AG47</f>
        <v>46</v>
      </c>
      <c r="D15" s="850">
        <f t="shared" ca="1" si="3"/>
        <v>1063</v>
      </c>
      <c r="E15" s="850">
        <f t="shared" ca="1" si="0"/>
        <v>1403</v>
      </c>
      <c r="F15" s="942">
        <f t="shared" si="1"/>
        <v>2150.5</v>
      </c>
      <c r="G15" s="81">
        <f t="shared" si="2"/>
        <v>16407.92689021731</v>
      </c>
    </row>
    <row r="16" spans="1:7" x14ac:dyDescent="0.2">
      <c r="A16" s="81" t="str">
        <f ca="1">'Procesy - AS IS'!B50</f>
        <v>Meranie č. 14</v>
      </c>
      <c r="B16" s="942">
        <f>'Procesy - AS IS'!AD52</f>
        <v>49.716113144303456</v>
      </c>
      <c r="C16" s="850">
        <f>'Procesy - AS IS'!AG52/2</f>
        <v>84.5</v>
      </c>
      <c r="D16" s="850">
        <f t="shared" ca="1" si="3"/>
        <v>1147.5</v>
      </c>
      <c r="E16" s="850">
        <f t="shared" ca="1" si="0"/>
        <v>1357</v>
      </c>
      <c r="F16" s="942">
        <f t="shared" si="1"/>
        <v>4201.0115606936424</v>
      </c>
      <c r="G16" s="81">
        <f t="shared" si="2"/>
        <v>21416.847127161589</v>
      </c>
    </row>
    <row r="17" spans="1:7" x14ac:dyDescent="0.2">
      <c r="A17" s="81" t="str">
        <f ca="1">'Procesy - AS IS'!B79</f>
        <v>Meranie č. 23</v>
      </c>
      <c r="B17" s="942">
        <f>'Procesy - AS IS'!AD81</f>
        <v>51.120192307692307</v>
      </c>
      <c r="C17" s="850">
        <f>'Procesy - AS IS'!AG81/2</f>
        <v>52</v>
      </c>
      <c r="D17" s="850">
        <f t="shared" ca="1" si="3"/>
        <v>1199.5</v>
      </c>
      <c r="E17" s="850">
        <f t="shared" ca="1" si="0"/>
        <v>1272.5</v>
      </c>
      <c r="F17" s="942">
        <f t="shared" si="1"/>
        <v>2658.25</v>
      </c>
      <c r="G17" s="81">
        <f t="shared" si="2"/>
        <v>10957.373241014147</v>
      </c>
    </row>
    <row r="18" spans="1:7" x14ac:dyDescent="0.2">
      <c r="A18" s="81" t="str">
        <f ca="1">'Procesy - AS IS'!B68</f>
        <v>Meranie č. 20</v>
      </c>
      <c r="B18" s="942">
        <f>'Procesy - AS IS'!AD70</f>
        <v>53.85503669546015</v>
      </c>
      <c r="C18" s="850">
        <f>'Procesy - AS IS'!AG70</f>
        <v>89</v>
      </c>
      <c r="D18" s="850">
        <f t="shared" ca="1" si="3"/>
        <v>1288.5</v>
      </c>
      <c r="E18" s="850">
        <f t="shared" ca="1" si="0"/>
        <v>1220.5</v>
      </c>
      <c r="F18" s="942">
        <f t="shared" si="1"/>
        <v>4793.0982658959538</v>
      </c>
      <c r="G18" s="81">
        <f t="shared" si="2"/>
        <v>12353.133021408115</v>
      </c>
    </row>
    <row r="19" spans="1:7" x14ac:dyDescent="0.2">
      <c r="A19" s="81" t="str">
        <f ca="1">'Procesy - AS IS'!B30</f>
        <v>Meranie č. 8</v>
      </c>
      <c r="B19" s="942">
        <f>'Procesy - AS IS'!AD32</f>
        <v>55.498251748251747</v>
      </c>
      <c r="C19" s="850">
        <f>'Procesy - AS IS'!AG32/2</f>
        <v>71.5</v>
      </c>
      <c r="D19" s="850">
        <f t="shared" ca="1" si="3"/>
        <v>1360</v>
      </c>
      <c r="E19" s="850">
        <f t="shared" ca="1" si="0"/>
        <v>1131.5</v>
      </c>
      <c r="F19" s="942">
        <f t="shared" si="1"/>
        <v>3968.125</v>
      </c>
      <c r="G19" s="81">
        <f t="shared" si="2"/>
        <v>7348.8381944504263</v>
      </c>
    </row>
    <row r="20" spans="1:7" x14ac:dyDescent="0.2">
      <c r="A20" s="81" t="str">
        <f ca="1">'Procesy - AS IS'!B27</f>
        <v>Meranie č. 7</v>
      </c>
      <c r="B20" s="942">
        <f>'Procesy - AS IS'!AD29</f>
        <v>60.00714285714286</v>
      </c>
      <c r="C20" s="850">
        <f>'Procesy - AS IS'!AG29</f>
        <v>35</v>
      </c>
      <c r="D20" s="850">
        <f t="shared" ca="1" si="3"/>
        <v>1395</v>
      </c>
      <c r="E20" s="850">
        <f t="shared" ca="1" si="0"/>
        <v>1060</v>
      </c>
      <c r="F20" s="942">
        <f t="shared" si="1"/>
        <v>2100.25</v>
      </c>
      <c r="G20" s="81">
        <f t="shared" si="2"/>
        <v>1109.077455778136</v>
      </c>
    </row>
    <row r="21" spans="1:7" x14ac:dyDescent="0.2">
      <c r="A21" s="81" t="str">
        <f ca="1">'Procesy - AS IS'!B22</f>
        <v>Meranie č. 6</v>
      </c>
      <c r="B21" s="942">
        <f>'Procesy - AS IS'!AD24</f>
        <v>66</v>
      </c>
      <c r="C21" s="850">
        <f>'Procesy - AS IS'!AG24</f>
        <v>4</v>
      </c>
      <c r="D21" s="943">
        <f t="shared" ca="1" si="3"/>
        <v>1399</v>
      </c>
      <c r="E21" s="850">
        <f t="shared" ca="1" si="0"/>
        <v>1025</v>
      </c>
      <c r="F21" s="942">
        <f t="shared" si="1"/>
        <v>264</v>
      </c>
      <c r="G21" s="81">
        <f t="shared" si="2"/>
        <v>0.52897711178039974</v>
      </c>
    </row>
    <row r="22" spans="1:7" x14ac:dyDescent="0.2">
      <c r="A22" s="81" t="str">
        <f ca="1">'Procesy - AS IS'!B82</f>
        <v>Meranie č. 24</v>
      </c>
      <c r="B22" s="942">
        <f>'Procesy - AS IS'!AD84</f>
        <v>73.572115384615373</v>
      </c>
      <c r="C22" s="850">
        <f>'Procesy - AS IS'!AG81/2</f>
        <v>52</v>
      </c>
      <c r="D22" s="850">
        <f t="shared" ca="1" si="3"/>
        <v>1451</v>
      </c>
      <c r="E22" s="850">
        <f t="shared" ca="1" si="0"/>
        <v>1021</v>
      </c>
      <c r="F22" s="942">
        <f t="shared" si="1"/>
        <v>3825.7499999999995</v>
      </c>
      <c r="G22" s="81">
        <f t="shared" si="2"/>
        <v>3274.7747102004582</v>
      </c>
    </row>
    <row r="23" spans="1:7" x14ac:dyDescent="0.2">
      <c r="A23" s="81" t="str">
        <f ca="1">'Procesy - AS IS'!B10</f>
        <v>Meranie č. 2</v>
      </c>
      <c r="B23" s="942">
        <f>'Procesy - AS IS'!AD12</f>
        <v>81.986486486486498</v>
      </c>
      <c r="C23" s="850">
        <f>'Procesy - AS IS'!AG12</f>
        <v>148</v>
      </c>
      <c r="D23" s="850">
        <f t="shared" ca="1" si="3"/>
        <v>1599</v>
      </c>
      <c r="E23" s="850">
        <f t="shared" ca="1" si="0"/>
        <v>969</v>
      </c>
      <c r="F23" s="942">
        <f t="shared" si="1"/>
        <v>12134.000000000002</v>
      </c>
      <c r="G23" s="81">
        <f t="shared" si="2"/>
        <v>39564.410208937989</v>
      </c>
    </row>
    <row r="24" spans="1:7" x14ac:dyDescent="0.2">
      <c r="A24" s="81" t="str">
        <f>'Procesy - AS IS'!B7</f>
        <v>Meranie č. 1</v>
      </c>
      <c r="B24" s="942">
        <f>'Procesy - AS IS'!AD9</f>
        <v>82.265306122448976</v>
      </c>
      <c r="C24" s="850">
        <f>'Procesy - AS IS'!AG9</f>
        <v>196</v>
      </c>
      <c r="D24" s="850">
        <f t="shared" ca="1" si="3"/>
        <v>1795</v>
      </c>
      <c r="E24" s="850">
        <f t="shared" ca="1" si="0"/>
        <v>821</v>
      </c>
      <c r="F24" s="942">
        <f t="shared" si="1"/>
        <v>16124</v>
      </c>
      <c r="G24" s="81">
        <f t="shared" si="2"/>
        <v>54198.374106115392</v>
      </c>
    </row>
    <row r="25" spans="1:7" x14ac:dyDescent="0.2">
      <c r="A25" s="81" t="str">
        <f ca="1">'Procesy - AS IS'!B13</f>
        <v>Meranie č. 3</v>
      </c>
      <c r="B25" s="942">
        <f>'Procesy - AS IS'!AD15</f>
        <v>83.59910872191773</v>
      </c>
      <c r="C25" s="850">
        <f>'Procesy - AS IS'!AG15/2</f>
        <v>95.5</v>
      </c>
      <c r="D25" s="850">
        <f t="shared" ca="1" si="3"/>
        <v>1890.5</v>
      </c>
      <c r="E25" s="850">
        <f t="shared" ca="1" si="0"/>
        <v>625</v>
      </c>
      <c r="F25" s="942">
        <f t="shared" si="1"/>
        <v>7983.7148829431435</v>
      </c>
      <c r="G25" s="81">
        <f t="shared" si="2"/>
        <v>30814.11087774792</v>
      </c>
    </row>
    <row r="26" spans="1:7" x14ac:dyDescent="0.2">
      <c r="A26" s="81" t="str">
        <f ca="1">'Procesy - AS IS'!B19</f>
        <v>Meranie č. 5</v>
      </c>
      <c r="B26" s="942">
        <f>'Procesy - AS IS'!AD21</f>
        <v>87.491525423728817</v>
      </c>
      <c r="C26" s="850">
        <f>'Procesy - AS IS'!AG21</f>
        <v>59</v>
      </c>
      <c r="D26" s="850">
        <f t="shared" ca="1" si="3"/>
        <v>1949.5</v>
      </c>
      <c r="E26" s="850">
        <f t="shared" ca="1" si="0"/>
        <v>529.5</v>
      </c>
      <c r="F26" s="942">
        <f t="shared" si="1"/>
        <v>5162</v>
      </c>
      <c r="G26" s="81">
        <f t="shared" si="2"/>
        <v>28181.283354879943</v>
      </c>
    </row>
    <row r="27" spans="1:7" x14ac:dyDescent="0.2">
      <c r="A27" s="81" t="str">
        <f ca="1">'Procesy - AS IS'!B87</f>
        <v>Meranie č. 25</v>
      </c>
      <c r="B27" s="942">
        <f>'Procesy - AS IS'!AD89</f>
        <v>92</v>
      </c>
      <c r="C27" s="850">
        <f>'Procesy - AS IS'!AG89</f>
        <v>11</v>
      </c>
      <c r="D27" s="850">
        <f t="shared" ca="1" si="3"/>
        <v>1960.5</v>
      </c>
      <c r="E27" s="850">
        <f t="shared" ca="1" si="0"/>
        <v>470.5</v>
      </c>
      <c r="F27" s="942">
        <f t="shared" si="1"/>
        <v>1012</v>
      </c>
      <c r="G27" s="81">
        <f t="shared" si="2"/>
        <v>7645.4648114148167</v>
      </c>
    </row>
    <row r="28" spans="1:7" x14ac:dyDescent="0.2">
      <c r="A28" s="81" t="str">
        <f ca="1">'Procesy - AS IS'!B16</f>
        <v>Meranie č. 4</v>
      </c>
      <c r="B28" s="942">
        <f>'Procesy - AS IS'!AD18</f>
        <v>97.434554973821989</v>
      </c>
      <c r="C28" s="850">
        <f>'Procesy - AS IS'!AG15/2</f>
        <v>95.5</v>
      </c>
      <c r="D28" s="850">
        <f t="shared" ca="1" si="3"/>
        <v>2056</v>
      </c>
      <c r="E28" s="850">
        <f t="shared" ca="1" si="0"/>
        <v>459.5</v>
      </c>
      <c r="F28" s="942">
        <f t="shared" si="1"/>
        <v>9305</v>
      </c>
      <c r="G28" s="81">
        <f t="shared" si="2"/>
        <v>96562.542357583152</v>
      </c>
    </row>
    <row r="29" spans="1:7" x14ac:dyDescent="0.2">
      <c r="A29" s="81" t="str">
        <f ca="1">'Procesy - AS IS'!B104</f>
        <v>Meranie č. 30</v>
      </c>
      <c r="B29" s="942">
        <f>'Procesy - AS IS'!AD106</f>
        <v>100.84712230215827</v>
      </c>
      <c r="C29" s="850">
        <f>'Procesy - AS IS'!AG106</f>
        <v>278</v>
      </c>
      <c r="D29" s="850">
        <f t="shared" ca="1" si="3"/>
        <v>2334</v>
      </c>
      <c r="E29" s="850">
        <f t="shared" ca="1" si="0"/>
        <v>364</v>
      </c>
      <c r="F29" s="942">
        <f t="shared" si="1"/>
        <v>28035.5</v>
      </c>
      <c r="G29" s="81">
        <f t="shared" si="2"/>
        <v>344664.05869293923</v>
      </c>
    </row>
    <row r="30" spans="1:7" x14ac:dyDescent="0.2">
      <c r="A30" s="81" t="str">
        <f ca="1">'Procesy - AS IS'!B62</f>
        <v>Meranie č. 18</v>
      </c>
      <c r="B30" s="942">
        <f>'Procesy - AS IS'!AD64</f>
        <v>155.36227987632748</v>
      </c>
      <c r="C30" s="850">
        <f>'Procesy - AS IS'!AG64/2</f>
        <v>43</v>
      </c>
      <c r="D30" s="850">
        <f t="shared" ca="1" si="3"/>
        <v>2377</v>
      </c>
      <c r="E30" s="850">
        <f ca="1">C30+OFFSET(E30,1,0)</f>
        <v>86</v>
      </c>
      <c r="F30" s="942">
        <f t="shared" si="1"/>
        <v>6680.5780346820811</v>
      </c>
      <c r="G30" s="81">
        <f t="shared" si="2"/>
        <v>346181.9585195721</v>
      </c>
    </row>
    <row r="31" spans="1:7" x14ac:dyDescent="0.2">
      <c r="A31" s="81" t="str">
        <f ca="1">'Procesy - AS IS'!B65</f>
        <v>Meranie č. 19</v>
      </c>
      <c r="B31" s="942">
        <f>'Procesy - AS IS'!AD67</f>
        <v>237.5</v>
      </c>
      <c r="C31" s="850">
        <f>'Procesy - AS IS'!AG64/2</f>
        <v>43</v>
      </c>
      <c r="D31" s="850">
        <f t="shared" ca="1" si="3"/>
        <v>2420</v>
      </c>
      <c r="E31" s="850">
        <f>C31</f>
        <v>43</v>
      </c>
      <c r="F31" s="942">
        <f t="shared" si="1"/>
        <v>10212.5</v>
      </c>
      <c r="G31" s="81">
        <f t="shared" si="2"/>
        <v>1270095.9702874261</v>
      </c>
    </row>
    <row r="32" spans="1:7" ht="15" x14ac:dyDescent="0.25">
      <c r="C32" s="944">
        <f>SUM(C2:C31)</f>
        <v>2420</v>
      </c>
      <c r="D32" s="943"/>
      <c r="E32" s="943"/>
      <c r="F32" s="945">
        <f>SUM(F2:F31)</f>
        <v>158839.95716618013</v>
      </c>
      <c r="G32" s="163">
        <f>SUM(G2:G31)</f>
        <v>3113070.2476893733</v>
      </c>
    </row>
    <row r="34" spans="1:5" ht="15" x14ac:dyDescent="0.25">
      <c r="A34" s="163" t="s">
        <v>760</v>
      </c>
      <c r="B34" s="945">
        <f>MIN(B2:B31)</f>
        <v>26.120447976878612</v>
      </c>
    </row>
    <row r="35" spans="1:5" ht="15" x14ac:dyDescent="0.25">
      <c r="A35" s="163" t="s">
        <v>761</v>
      </c>
      <c r="B35" s="945">
        <f>MAX(B2:B31)</f>
        <v>237.5</v>
      </c>
    </row>
    <row r="36" spans="1:5" ht="15" x14ac:dyDescent="0.25">
      <c r="A36" s="163" t="s">
        <v>615</v>
      </c>
      <c r="B36" s="945">
        <f>F32/C32</f>
        <v>65.636345936438076</v>
      </c>
    </row>
    <row r="37" spans="1:5" s="946" customFormat="1" hidden="1" x14ac:dyDescent="0.2">
      <c r="A37" s="946" t="s">
        <v>757</v>
      </c>
      <c r="B37" s="947">
        <f ca="1">INDEX(B2:B31,MATCH(C32/2,D2:D31,1))</f>
        <v>51.120192307692307</v>
      </c>
      <c r="C37" s="948"/>
      <c r="D37" s="948"/>
      <c r="E37" s="948"/>
    </row>
    <row r="38" spans="1:5" s="946" customFormat="1" hidden="1" x14ac:dyDescent="0.2">
      <c r="A38" s="946" t="s">
        <v>758</v>
      </c>
      <c r="B38" s="947">
        <f ca="1">INDEX(B2:B31,MATCH(C32/2,E2:E31,-1))</f>
        <v>53.85503669546015</v>
      </c>
      <c r="C38" s="948"/>
      <c r="D38" s="948"/>
      <c r="E38" s="948"/>
    </row>
    <row r="39" spans="1:5" ht="15" x14ac:dyDescent="0.25">
      <c r="A39" s="163" t="s">
        <v>616</v>
      </c>
      <c r="B39" s="945">
        <f ca="1">AVERAGE(B37:B38)</f>
        <v>52.487614501576232</v>
      </c>
    </row>
    <row r="40" spans="1:5" ht="15" x14ac:dyDescent="0.25">
      <c r="A40" s="163" t="s">
        <v>617</v>
      </c>
      <c r="B40" s="945">
        <f>G32/C32</f>
        <v>1286.3926643344519</v>
      </c>
    </row>
    <row r="41" spans="1:5" ht="15" x14ac:dyDescent="0.25">
      <c r="A41" s="163" t="s">
        <v>618</v>
      </c>
      <c r="B41" s="945">
        <f>SQRT(B40)</f>
        <v>35.866316570487861</v>
      </c>
    </row>
  </sheetData>
  <sortState xmlns:xlrd2="http://schemas.microsoft.com/office/spreadsheetml/2017/richdata2" ref="A2:C31">
    <sortCondition ref="B2:B31"/>
  </sortState>
  <pageMargins left="0.7" right="0.7" top="0.75" bottom="0.75" header="0.3" footer="0.3"/>
  <pageSetup paperSize="9" orientation="portrait" horizontalDpi="150" verticalDpi="15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70C0"/>
  </sheetPr>
  <dimension ref="B1:Q32"/>
  <sheetViews>
    <sheetView zoomScaleNormal="100" workbookViewId="0">
      <selection activeCell="C47" sqref="C47"/>
    </sheetView>
  </sheetViews>
  <sheetFormatPr defaultRowHeight="15" x14ac:dyDescent="0.25"/>
  <cols>
    <col min="2" max="2" width="66.5703125" customWidth="1"/>
    <col min="3" max="3" width="23.7109375" bestFit="1" customWidth="1"/>
    <col min="4" max="4" width="23.7109375" customWidth="1"/>
    <col min="10" max="10" width="10.5703125" bestFit="1" customWidth="1"/>
    <col min="11" max="11" width="18" customWidth="1"/>
    <col min="12" max="12" width="8.5703125" customWidth="1"/>
    <col min="13" max="13" width="5.5703125" customWidth="1"/>
    <col min="14" max="14" width="41.85546875" bestFit="1" customWidth="1"/>
  </cols>
  <sheetData>
    <row r="1" spans="2:17" ht="30" x14ac:dyDescent="0.25">
      <c r="B1" s="624"/>
      <c r="C1" s="1176" t="s">
        <v>1016</v>
      </c>
      <c r="D1" s="1176">
        <v>2018</v>
      </c>
      <c r="E1" s="1177">
        <v>2019</v>
      </c>
      <c r="F1" s="1177">
        <v>2020</v>
      </c>
      <c r="G1" s="1177">
        <v>2021</v>
      </c>
      <c r="H1" s="1177">
        <v>2022</v>
      </c>
      <c r="I1" s="1177">
        <v>2023</v>
      </c>
      <c r="J1" s="1177" t="s">
        <v>1033</v>
      </c>
      <c r="K1" s="1178" t="s">
        <v>1105</v>
      </c>
    </row>
    <row r="2" spans="2:17" ht="45.75" x14ac:dyDescent="0.25">
      <c r="B2" s="624"/>
      <c r="C2" s="1133"/>
      <c r="D2" s="1133"/>
      <c r="E2" s="1133"/>
      <c r="F2" s="1133"/>
      <c r="G2" s="1133"/>
      <c r="H2" s="1133"/>
      <c r="I2" s="1133"/>
      <c r="J2" s="1133"/>
      <c r="K2" s="1175" t="s">
        <v>1106</v>
      </c>
    </row>
    <row r="3" spans="2:17" x14ac:dyDescent="0.25">
      <c r="B3" s="624" t="s">
        <v>541</v>
      </c>
      <c r="C3" s="624">
        <v>158</v>
      </c>
      <c r="D3" s="624"/>
      <c r="E3" s="624"/>
      <c r="F3" s="624"/>
      <c r="G3" s="624">
        <v>200</v>
      </c>
      <c r="H3" s="624">
        <v>163</v>
      </c>
      <c r="I3" s="624">
        <v>169</v>
      </c>
      <c r="J3" s="624">
        <v>183</v>
      </c>
      <c r="K3" s="624">
        <f>AVERAGE(C3,G3)</f>
        <v>179</v>
      </c>
    </row>
    <row r="4" spans="2:17" x14ac:dyDescent="0.25">
      <c r="B4" s="624" t="s">
        <v>543</v>
      </c>
      <c r="C4" s="1134">
        <v>0.6</v>
      </c>
      <c r="D4" s="1134"/>
      <c r="E4" s="624"/>
      <c r="F4" s="624"/>
      <c r="G4" s="1134">
        <v>0.6</v>
      </c>
      <c r="H4" s="1134">
        <v>0.6</v>
      </c>
      <c r="I4" s="1134">
        <v>0.6</v>
      </c>
      <c r="J4" s="1134">
        <v>0.6</v>
      </c>
      <c r="K4" s="1134">
        <v>0.6</v>
      </c>
    </row>
    <row r="5" spans="2:17" x14ac:dyDescent="0.25">
      <c r="B5" s="624" t="s">
        <v>545</v>
      </c>
      <c r="C5" s="624">
        <f>ROUND(C3*C4,0)</f>
        <v>95</v>
      </c>
      <c r="D5" s="624"/>
      <c r="E5" s="624"/>
      <c r="F5" s="624"/>
      <c r="G5" s="624">
        <f t="shared" ref="G5:K5" si="0">ROUND(G3*G4,0)</f>
        <v>120</v>
      </c>
      <c r="H5" s="624">
        <f t="shared" ref="H5:J5" si="1">ROUND(H3*H4,0)</f>
        <v>98</v>
      </c>
      <c r="I5" s="624">
        <f t="shared" si="1"/>
        <v>101</v>
      </c>
      <c r="J5" s="624">
        <f t="shared" si="1"/>
        <v>110</v>
      </c>
      <c r="K5" s="624">
        <f t="shared" si="0"/>
        <v>107</v>
      </c>
    </row>
    <row r="6" spans="2:17" x14ac:dyDescent="0.25">
      <c r="B6" s="624" t="s">
        <v>542</v>
      </c>
      <c r="C6" s="624">
        <v>40</v>
      </c>
      <c r="D6" s="624"/>
      <c r="E6" s="624"/>
      <c r="F6" s="624"/>
      <c r="G6" s="624">
        <v>30</v>
      </c>
      <c r="H6" s="624">
        <v>34</v>
      </c>
      <c r="I6" s="624">
        <v>33</v>
      </c>
      <c r="J6" s="624">
        <v>31</v>
      </c>
      <c r="K6" s="624">
        <f>AVERAGE(C6,G6)</f>
        <v>35</v>
      </c>
    </row>
    <row r="7" spans="2:17" x14ac:dyDescent="0.25">
      <c r="B7" s="624" t="s">
        <v>544</v>
      </c>
      <c r="C7" s="1134">
        <v>0.4</v>
      </c>
      <c r="D7" s="1134"/>
      <c r="E7" s="624"/>
      <c r="F7" s="624"/>
      <c r="G7" s="1134">
        <v>0.4</v>
      </c>
      <c r="H7" s="1134">
        <v>0.4</v>
      </c>
      <c r="I7" s="1134">
        <v>0.4</v>
      </c>
      <c r="J7" s="1134">
        <v>0.4</v>
      </c>
      <c r="K7" s="1134">
        <v>0.4</v>
      </c>
    </row>
    <row r="8" spans="2:17" x14ac:dyDescent="0.25">
      <c r="B8" s="624" t="s">
        <v>546</v>
      </c>
      <c r="C8" s="624">
        <f>ROUND(C6*C7,0)</f>
        <v>16</v>
      </c>
      <c r="D8" s="624"/>
      <c r="E8" s="624"/>
      <c r="F8" s="624"/>
      <c r="G8" s="624">
        <f>ROUND(G6*G7,0)</f>
        <v>12</v>
      </c>
      <c r="H8" s="624">
        <f t="shared" ref="H8:J8" si="2">ROUND(H6*H7,0)</f>
        <v>14</v>
      </c>
      <c r="I8" s="624">
        <f t="shared" si="2"/>
        <v>13</v>
      </c>
      <c r="J8" s="624">
        <f t="shared" si="2"/>
        <v>12</v>
      </c>
      <c r="K8" s="624">
        <f>ROUND(K6*K7,0)</f>
        <v>14</v>
      </c>
    </row>
    <row r="9" spans="2:17" x14ac:dyDescent="0.25">
      <c r="B9" s="624" t="s">
        <v>1111</v>
      </c>
      <c r="C9" s="624">
        <f>C5+C8</f>
        <v>111</v>
      </c>
      <c r="D9" s="624"/>
      <c r="E9" s="624"/>
      <c r="F9" s="624"/>
      <c r="G9" s="624">
        <f>G5+G8</f>
        <v>132</v>
      </c>
      <c r="H9" s="624">
        <f t="shared" ref="H9:J9" si="3">H5+H8</f>
        <v>112</v>
      </c>
      <c r="I9" s="624">
        <f t="shared" si="3"/>
        <v>114</v>
      </c>
      <c r="J9" s="624">
        <f t="shared" si="3"/>
        <v>122</v>
      </c>
      <c r="K9" s="624">
        <f>K5+K8</f>
        <v>121</v>
      </c>
    </row>
    <row r="12" spans="2:17" x14ac:dyDescent="0.25">
      <c r="B12" s="1133" t="s">
        <v>1018</v>
      </c>
      <c r="C12" s="1133" t="s">
        <v>1019</v>
      </c>
      <c r="D12" s="1133"/>
      <c r="E12" s="1133"/>
      <c r="F12" s="1133"/>
      <c r="G12" s="1133"/>
      <c r="H12" s="1133"/>
      <c r="I12" s="1133"/>
      <c r="J12" s="1133"/>
      <c r="K12" s="1133" t="s">
        <v>1023</v>
      </c>
    </row>
    <row r="13" spans="2:17" x14ac:dyDescent="0.25">
      <c r="B13" s="624" t="s">
        <v>1005</v>
      </c>
      <c r="C13" s="1135">
        <f>'Procesy - AS IS'!AG4</f>
        <v>2659</v>
      </c>
      <c r="D13" s="1135"/>
      <c r="E13" s="624"/>
      <c r="F13" s="624"/>
      <c r="G13" s="624"/>
      <c r="H13" s="624"/>
      <c r="I13" s="624"/>
      <c r="J13" s="624"/>
      <c r="K13" s="1135">
        <f>'Procesy - AS IS'!AG5</f>
        <v>2800</v>
      </c>
    </row>
    <row r="14" spans="2:17" x14ac:dyDescent="0.25">
      <c r="B14" s="624" t="s">
        <v>1006</v>
      </c>
      <c r="C14" s="1135">
        <f>'Procesy - TO BE'!AF54</f>
        <v>4170.40711195328</v>
      </c>
      <c r="D14" s="1135"/>
      <c r="E14" s="624"/>
      <c r="F14" s="624"/>
      <c r="G14" s="624"/>
      <c r="H14" s="624"/>
      <c r="I14" s="624"/>
      <c r="J14" s="624"/>
      <c r="K14" s="1135">
        <f>'Procesy - TO BE'!AF6</f>
        <v>3536.055295727198</v>
      </c>
    </row>
    <row r="15" spans="2:17" x14ac:dyDescent="0.25">
      <c r="B15" s="624" t="s">
        <v>1007</v>
      </c>
      <c r="C15" s="624">
        <f>C9</f>
        <v>111</v>
      </c>
      <c r="D15" s="624"/>
      <c r="E15" s="624"/>
      <c r="F15" s="624"/>
      <c r="G15" s="624"/>
      <c r="H15" s="624"/>
      <c r="I15" s="624"/>
      <c r="J15" s="624"/>
      <c r="K15" s="624">
        <f>K9</f>
        <v>121</v>
      </c>
      <c r="Q15" s="1128"/>
    </row>
    <row r="16" spans="2:17" x14ac:dyDescent="0.25">
      <c r="B16" s="1194" t="s">
        <v>1017</v>
      </c>
      <c r="C16" s="1194">
        <v>4</v>
      </c>
      <c r="D16" s="624"/>
      <c r="E16" s="624"/>
      <c r="F16" s="624"/>
      <c r="G16" s="624"/>
      <c r="H16" s="624"/>
      <c r="I16" s="624"/>
      <c r="J16" s="624"/>
      <c r="K16" s="1206" t="s">
        <v>1115</v>
      </c>
      <c r="Q16" s="1128"/>
    </row>
    <row r="17" spans="2:17" x14ac:dyDescent="0.25">
      <c r="B17" s="624" t="s">
        <v>1008</v>
      </c>
      <c r="C17" s="624">
        <f>Faktory!D12/7.5</f>
        <v>251</v>
      </c>
      <c r="D17" s="624"/>
      <c r="E17" s="624"/>
      <c r="F17" s="624"/>
      <c r="G17" s="624"/>
      <c r="H17" s="624"/>
      <c r="I17" s="624"/>
      <c r="J17" s="624"/>
      <c r="K17" s="624">
        <f>C17</f>
        <v>251</v>
      </c>
    </row>
    <row r="18" spans="2:17" x14ac:dyDescent="0.25">
      <c r="B18" s="624" t="s">
        <v>1009</v>
      </c>
      <c r="C18" s="624">
        <v>7.5</v>
      </c>
      <c r="D18" s="624"/>
      <c r="E18" s="624"/>
      <c r="F18" s="624"/>
      <c r="G18" s="624"/>
      <c r="H18" s="624"/>
      <c r="I18" s="624"/>
      <c r="J18" s="624"/>
      <c r="K18" s="624">
        <v>7.5</v>
      </c>
      <c r="Q18" s="1128"/>
    </row>
    <row r="19" spans="2:17" x14ac:dyDescent="0.25">
      <c r="B19" s="624" t="s">
        <v>1010</v>
      </c>
      <c r="C19" s="624">
        <f>C15*C17*C18</f>
        <v>208957.5</v>
      </c>
      <c r="D19" s="624"/>
      <c r="E19" s="624"/>
      <c r="F19" s="624"/>
      <c r="G19" s="624"/>
      <c r="H19" s="624"/>
      <c r="I19" s="624"/>
      <c r="J19" s="624"/>
      <c r="K19" s="624">
        <f>K15*K17*K18</f>
        <v>227782.5</v>
      </c>
      <c r="Q19" s="1128"/>
    </row>
    <row r="20" spans="2:17" x14ac:dyDescent="0.25">
      <c r="B20" s="624" t="s">
        <v>1020</v>
      </c>
      <c r="C20" s="1136">
        <f>C19/C13</f>
        <v>78.584994358781501</v>
      </c>
      <c r="D20" s="1136"/>
      <c r="E20" s="624"/>
      <c r="F20" s="624"/>
      <c r="G20" s="624"/>
      <c r="H20" s="624"/>
      <c r="I20" s="624"/>
      <c r="J20" s="624"/>
      <c r="K20" s="1136">
        <f>K19/K13</f>
        <v>81.350892857142853</v>
      </c>
    </row>
    <row r="21" spans="2:17" x14ac:dyDescent="0.25">
      <c r="B21" s="624" t="s">
        <v>1012</v>
      </c>
      <c r="C21" s="1137">
        <f>'Procesy - AS IS'!AD4</f>
        <v>64.611616041310626</v>
      </c>
      <c r="D21" s="1137"/>
      <c r="E21" s="624"/>
      <c r="F21" s="624"/>
      <c r="G21" s="624"/>
      <c r="H21" s="624"/>
      <c r="I21" s="624"/>
      <c r="J21" s="624"/>
      <c r="K21" s="1137">
        <f>'Procesy - AS IS'!AD5</f>
        <v>70.861616041310626</v>
      </c>
    </row>
    <row r="22" spans="2:17" x14ac:dyDescent="0.25">
      <c r="B22" s="624" t="s">
        <v>1014</v>
      </c>
      <c r="C22" s="1136">
        <f>C20-C21</f>
        <v>13.973378317470875</v>
      </c>
      <c r="D22" s="1136"/>
      <c r="E22" s="624"/>
      <c r="F22" s="624"/>
      <c r="G22" s="624"/>
      <c r="H22" s="624"/>
      <c r="I22" s="624"/>
      <c r="J22" s="624"/>
      <c r="K22" s="1136">
        <f>K20-K21</f>
        <v>10.489276815832227</v>
      </c>
    </row>
    <row r="23" spans="2:17" x14ac:dyDescent="0.25">
      <c r="B23" s="624" t="s">
        <v>1011</v>
      </c>
      <c r="C23" s="624"/>
      <c r="D23" s="624"/>
      <c r="E23" s="624"/>
      <c r="F23" s="624"/>
      <c r="G23" s="624"/>
      <c r="H23" s="624"/>
      <c r="I23" s="624"/>
      <c r="J23" s="624"/>
      <c r="K23" s="624"/>
    </row>
    <row r="24" spans="2:17" x14ac:dyDescent="0.25">
      <c r="B24" s="624" t="s">
        <v>1021</v>
      </c>
      <c r="C24" s="1136">
        <f>C19/C14</f>
        <v>50.104820558425352</v>
      </c>
      <c r="D24" s="1136"/>
      <c r="E24" s="624"/>
      <c r="F24" s="624"/>
      <c r="G24" s="624"/>
      <c r="H24" s="624"/>
      <c r="I24" s="624"/>
      <c r="J24" s="624"/>
      <c r="K24" s="1136">
        <f>K19/K14</f>
        <v>64.417120477511091</v>
      </c>
      <c r="N24" s="411"/>
      <c r="O24" s="411"/>
    </row>
    <row r="25" spans="2:17" x14ac:dyDescent="0.25">
      <c r="B25" s="624" t="s">
        <v>1013</v>
      </c>
      <c r="C25" s="1137">
        <f>'Procesy - TO BE'!AE5</f>
        <v>42.771468143234166</v>
      </c>
      <c r="D25" s="1137"/>
      <c r="E25" s="624"/>
      <c r="F25" s="624"/>
      <c r="G25" s="624"/>
      <c r="H25" s="624"/>
      <c r="I25" s="624"/>
      <c r="J25" s="624"/>
      <c r="K25" s="1137">
        <f>'Procesy - TO BE'!AE6</f>
        <v>56.11126193513492</v>
      </c>
      <c r="N25" s="411"/>
      <c r="O25" s="411"/>
    </row>
    <row r="26" spans="2:17" x14ac:dyDescent="0.25">
      <c r="B26" s="624" t="s">
        <v>1015</v>
      </c>
      <c r="C26" s="1136">
        <f>C24-C25</f>
        <v>7.333352415191186</v>
      </c>
      <c r="D26" s="1136"/>
      <c r="E26" s="624"/>
      <c r="F26" s="624"/>
      <c r="G26" s="624"/>
      <c r="H26" s="624"/>
      <c r="I26" s="624"/>
      <c r="J26" s="624"/>
      <c r="K26" s="1136">
        <f>K24-K25</f>
        <v>8.3058585423761713</v>
      </c>
    </row>
    <row r="28" spans="2:17" x14ac:dyDescent="0.25">
      <c r="B28" s="1197" t="s">
        <v>1034</v>
      </c>
      <c r="C28" s="1195">
        <f>K3*(1-K4)+K6*(1-K7)</f>
        <v>92.600000000000009</v>
      </c>
    </row>
    <row r="29" spans="2:17" x14ac:dyDescent="0.25">
      <c r="B29" s="1197" t="s">
        <v>1037</v>
      </c>
      <c r="C29" s="1196">
        <f>C28*K17*K18</f>
        <v>174319.50000000003</v>
      </c>
    </row>
    <row r="30" spans="2:17" x14ac:dyDescent="0.25">
      <c r="B30" s="1197" t="s">
        <v>1038</v>
      </c>
      <c r="C30" s="1196">
        <f>C29/(K3+K6)</f>
        <v>814.5771028037384</v>
      </c>
    </row>
    <row r="31" spans="2:17" x14ac:dyDescent="0.25">
      <c r="B31" s="1197" t="s">
        <v>1039</v>
      </c>
      <c r="C31" s="1196">
        <f>K19/(K3+K6)</f>
        <v>1064.4042056074766</v>
      </c>
    </row>
    <row r="32" spans="2:17" x14ac:dyDescent="0.25">
      <c r="B32" s="411"/>
      <c r="C32" s="41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70C0"/>
  </sheetPr>
  <dimension ref="A1:C13"/>
  <sheetViews>
    <sheetView showGridLines="0" zoomScaleNormal="100" workbookViewId="0">
      <pane xSplit="1" ySplit="1" topLeftCell="B2" activePane="bottomRight" state="frozen"/>
      <selection activeCell="C47" sqref="C47"/>
      <selection pane="topRight" activeCell="C47" sqref="C47"/>
      <selection pane="bottomLeft" activeCell="C47" sqref="C47"/>
      <selection pane="bottomRight" activeCell="C47" sqref="C47"/>
    </sheetView>
  </sheetViews>
  <sheetFormatPr defaultRowHeight="15" x14ac:dyDescent="0.25"/>
  <cols>
    <col min="1" max="1" width="3.42578125" bestFit="1" customWidth="1"/>
    <col min="2" max="2" width="13.42578125" bestFit="1" customWidth="1"/>
    <col min="3" max="3" width="162.42578125" bestFit="1" customWidth="1"/>
  </cols>
  <sheetData>
    <row r="1" spans="1:3" s="101" customFormat="1" x14ac:dyDescent="0.25">
      <c r="A1" s="644" t="s">
        <v>485</v>
      </c>
      <c r="B1" s="499" t="s">
        <v>486</v>
      </c>
      <c r="C1" s="499" t="s">
        <v>487</v>
      </c>
    </row>
    <row r="2" spans="1:3" x14ac:dyDescent="0.25">
      <c r="A2" s="498">
        <v>1</v>
      </c>
      <c r="B2" s="498" t="s">
        <v>488</v>
      </c>
      <c r="C2" s="498" t="s">
        <v>489</v>
      </c>
    </row>
    <row r="3" spans="1:3" x14ac:dyDescent="0.25">
      <c r="A3" s="498">
        <v>2</v>
      </c>
      <c r="B3" s="498" t="s">
        <v>490</v>
      </c>
      <c r="C3" s="498" t="s">
        <v>491</v>
      </c>
    </row>
    <row r="4" spans="1:3" x14ac:dyDescent="0.25">
      <c r="A4" s="498">
        <v>3</v>
      </c>
      <c r="B4" s="498" t="s">
        <v>492</v>
      </c>
      <c r="C4" s="498" t="s">
        <v>493</v>
      </c>
    </row>
    <row r="5" spans="1:3" x14ac:dyDescent="0.25">
      <c r="A5" s="498">
        <v>4</v>
      </c>
      <c r="B5" s="498" t="s">
        <v>494</v>
      </c>
      <c r="C5" s="498" t="s">
        <v>495</v>
      </c>
    </row>
    <row r="6" spans="1:3" x14ac:dyDescent="0.25">
      <c r="A6" s="498">
        <v>5</v>
      </c>
      <c r="B6" s="498" t="s">
        <v>496</v>
      </c>
      <c r="C6" s="498" t="s">
        <v>497</v>
      </c>
    </row>
    <row r="7" spans="1:3" x14ac:dyDescent="0.25">
      <c r="A7" s="498">
        <v>6</v>
      </c>
      <c r="B7" s="498" t="s">
        <v>498</v>
      </c>
      <c r="C7" s="498" t="s">
        <v>499</v>
      </c>
    </row>
    <row r="8" spans="1:3" x14ac:dyDescent="0.25">
      <c r="A8" s="498">
        <v>7</v>
      </c>
      <c r="B8" s="498" t="s">
        <v>500</v>
      </c>
      <c r="C8" s="498" t="s">
        <v>501</v>
      </c>
    </row>
    <row r="9" spans="1:3" x14ac:dyDescent="0.25">
      <c r="A9" s="498">
        <v>8</v>
      </c>
      <c r="B9" s="498" t="s">
        <v>502</v>
      </c>
      <c r="C9" s="498" t="s">
        <v>503</v>
      </c>
    </row>
    <row r="10" spans="1:3" x14ac:dyDescent="0.25">
      <c r="A10" s="498">
        <v>9</v>
      </c>
      <c r="B10" s="498" t="s">
        <v>504</v>
      </c>
      <c r="C10" s="498" t="s">
        <v>505</v>
      </c>
    </row>
    <row r="11" spans="1:3" x14ac:dyDescent="0.25">
      <c r="A11" s="498">
        <v>10</v>
      </c>
      <c r="B11" s="498" t="s">
        <v>506</v>
      </c>
      <c r="C11" s="498" t="s">
        <v>507</v>
      </c>
    </row>
    <row r="12" spans="1:3" x14ac:dyDescent="0.25">
      <c r="A12" s="498">
        <v>11</v>
      </c>
      <c r="B12" s="498" t="s">
        <v>508</v>
      </c>
      <c r="C12" s="498" t="s">
        <v>509</v>
      </c>
    </row>
    <row r="13" spans="1:3" x14ac:dyDescent="0.25">
      <c r="A13" s="498">
        <v>12</v>
      </c>
      <c r="B13" s="498" t="s">
        <v>510</v>
      </c>
      <c r="C13" s="498" t="s">
        <v>511</v>
      </c>
    </row>
  </sheetData>
  <pageMargins left="0.7" right="0.7" top="0.75" bottom="0.75" header="0.3" footer="0.3"/>
  <pageSetup paperSize="9" orientation="portrait" horizontalDpi="150" verticalDpi="15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</sheetPr>
  <dimension ref="A1:I138"/>
  <sheetViews>
    <sheetView view="pageBreakPreview" topLeftCell="A64" zoomScaleNormal="80" zoomScaleSheetLayoutView="100" workbookViewId="0">
      <selection activeCell="C47" sqref="C47"/>
    </sheetView>
  </sheetViews>
  <sheetFormatPr defaultColWidth="8.85546875" defaultRowHeight="15" x14ac:dyDescent="0.25"/>
  <cols>
    <col min="1" max="1" width="26" customWidth="1"/>
    <col min="2" max="2" width="11.42578125" customWidth="1"/>
    <col min="4" max="4" width="20.85546875" customWidth="1"/>
    <col min="6" max="8" width="12.42578125" bestFit="1" customWidth="1"/>
    <col min="9" max="9" width="13.140625" bestFit="1" customWidth="1"/>
  </cols>
  <sheetData>
    <row r="1" spans="1:9" ht="15.75" thickBot="1" x14ac:dyDescent="0.3"/>
    <row r="2" spans="1:9" x14ac:dyDescent="0.25">
      <c r="A2" s="1366" t="str">
        <f>'Parametre - Agendové IS'!G1</f>
        <v xml:space="preserve">Interný agendový informačný systém KSED	</v>
      </c>
      <c r="B2" s="1367"/>
      <c r="C2" s="1368"/>
      <c r="D2" s="1372" t="s">
        <v>103</v>
      </c>
      <c r="E2" s="1373"/>
      <c r="F2" s="262" t="s">
        <v>334</v>
      </c>
      <c r="G2" s="262" t="s">
        <v>154</v>
      </c>
      <c r="H2" s="262" t="s">
        <v>155</v>
      </c>
      <c r="I2" s="262" t="s">
        <v>157</v>
      </c>
    </row>
    <row r="3" spans="1:9" ht="15.75" thickBot="1" x14ac:dyDescent="0.3">
      <c r="A3" s="1369"/>
      <c r="B3" s="1370"/>
      <c r="C3" s="1371"/>
      <c r="D3" s="446" t="s">
        <v>298</v>
      </c>
      <c r="E3" s="447" t="s">
        <v>156</v>
      </c>
      <c r="F3" s="143" t="s">
        <v>156</v>
      </c>
      <c r="G3" s="143" t="s">
        <v>156</v>
      </c>
      <c r="H3" s="143" t="s">
        <v>156</v>
      </c>
      <c r="I3" s="143" t="s">
        <v>156</v>
      </c>
    </row>
    <row r="4" spans="1:9" ht="15" customHeight="1" x14ac:dyDescent="0.25">
      <c r="A4" s="1360" t="s">
        <v>43</v>
      </c>
      <c r="B4" s="1363" t="s">
        <v>174</v>
      </c>
      <c r="C4" s="144" t="s">
        <v>25</v>
      </c>
      <c r="D4" s="448" t="str">
        <f>IF(E4='Parametre - Agendové IS'!H107,"OK","Chyba počtu FTE")</f>
        <v>OK</v>
      </c>
      <c r="E4" s="449">
        <f t="shared" ref="E4:E33" si="0">F4+G4+H4+I4</f>
        <v>81.775938880516094</v>
      </c>
      <c r="F4" s="896">
        <f>'Parametre - Agendové IS'!H6*'Parametre - Agendové IS'!H46/12/21/7.5</f>
        <v>81.775938880516094</v>
      </c>
      <c r="G4" s="896">
        <v>0</v>
      </c>
      <c r="H4" s="896">
        <v>0</v>
      </c>
      <c r="I4" s="896">
        <v>0</v>
      </c>
    </row>
    <row r="5" spans="1:9" x14ac:dyDescent="0.25">
      <c r="A5" s="1361"/>
      <c r="B5" s="1364"/>
      <c r="C5" s="141" t="s">
        <v>26</v>
      </c>
      <c r="D5" s="450" t="str">
        <f>IF(E5='Parametre - Agendové IS'!H108,"OK","Chyba počtu FTE")</f>
        <v>OK</v>
      </c>
      <c r="E5" s="451">
        <f t="shared" si="0"/>
        <v>81.775938880516094</v>
      </c>
      <c r="F5" s="897">
        <f>'Parametre - Agendové IS'!H7*'Parametre - Agendové IS'!H47/12/21/7.5</f>
        <v>81.775938880516094</v>
      </c>
      <c r="G5" s="897">
        <v>0</v>
      </c>
      <c r="H5" s="897">
        <v>0</v>
      </c>
      <c r="I5" s="897">
        <v>0</v>
      </c>
    </row>
    <row r="6" spans="1:9" x14ac:dyDescent="0.25">
      <c r="A6" s="1361"/>
      <c r="B6" s="1364"/>
      <c r="C6" s="141" t="s">
        <v>27</v>
      </c>
      <c r="D6" s="450" t="str">
        <f>IF(E6='Parametre - Agendové IS'!H109,"OK","Chyba počtu FTE")</f>
        <v>OK</v>
      </c>
      <c r="E6" s="451">
        <f t="shared" si="0"/>
        <v>81.775938880516094</v>
      </c>
      <c r="F6" s="897">
        <f>'Parametre - Agendové IS'!H8*'Parametre - Agendové IS'!H48/12/21/7.5</f>
        <v>81.775938880516094</v>
      </c>
      <c r="G6" s="897">
        <v>0</v>
      </c>
      <c r="H6" s="897">
        <v>0</v>
      </c>
      <c r="I6" s="897">
        <v>0</v>
      </c>
    </row>
    <row r="7" spans="1:9" x14ac:dyDescent="0.25">
      <c r="A7" s="1361"/>
      <c r="B7" s="1364"/>
      <c r="C7" s="141" t="s">
        <v>28</v>
      </c>
      <c r="D7" s="450" t="str">
        <f>IF(E7='Parametre - Agendové IS'!H110,"OK","Chyba počtu FTE")</f>
        <v>OK</v>
      </c>
      <c r="E7" s="451">
        <f t="shared" si="0"/>
        <v>81.775938880516108</v>
      </c>
      <c r="F7" s="897">
        <f>'Parametre - Agendové IS'!H9*'Parametre - Agendové IS'!H49/12/21/7.5</f>
        <v>81.775938880516108</v>
      </c>
      <c r="G7" s="897">
        <v>0</v>
      </c>
      <c r="H7" s="897">
        <v>0</v>
      </c>
      <c r="I7" s="897">
        <v>0</v>
      </c>
    </row>
    <row r="8" spans="1:9" x14ac:dyDescent="0.25">
      <c r="A8" s="1361"/>
      <c r="B8" s="1364"/>
      <c r="C8" s="141" t="s">
        <v>29</v>
      </c>
      <c r="D8" s="450" t="str">
        <f>IF(E8='Parametre - Agendové IS'!H111,"OK","Chyba počtu FTE")</f>
        <v>OK</v>
      </c>
      <c r="E8" s="451">
        <f t="shared" si="0"/>
        <v>81.775938880516108</v>
      </c>
      <c r="F8" s="897">
        <f>'Parametre - Agendové IS'!H10*'Parametre - Agendové IS'!H50/12/21/7.5</f>
        <v>81.775938880516108</v>
      </c>
      <c r="G8" s="897">
        <v>0</v>
      </c>
      <c r="H8" s="897">
        <v>0</v>
      </c>
      <c r="I8" s="897">
        <v>0</v>
      </c>
    </row>
    <row r="9" spans="1:9" x14ac:dyDescent="0.25">
      <c r="A9" s="1361"/>
      <c r="B9" s="1364"/>
      <c r="C9" s="141" t="s">
        <v>30</v>
      </c>
      <c r="D9" s="450" t="str">
        <f>IF(E9='Parametre - Agendové IS'!H112,"OK","Chyba počtu FTE")</f>
        <v>OK</v>
      </c>
      <c r="E9" s="451">
        <f t="shared" si="0"/>
        <v>81.775938880516108</v>
      </c>
      <c r="F9" s="897">
        <f>'Parametre - Agendové IS'!H11*'Parametre - Agendové IS'!H51/12/21/7.5</f>
        <v>81.775938880516108</v>
      </c>
      <c r="G9" s="897">
        <v>0</v>
      </c>
      <c r="H9" s="897">
        <v>0</v>
      </c>
      <c r="I9" s="897">
        <v>0</v>
      </c>
    </row>
    <row r="10" spans="1:9" x14ac:dyDescent="0.25">
      <c r="A10" s="1361"/>
      <c r="B10" s="1364"/>
      <c r="C10" s="141" t="s">
        <v>31</v>
      </c>
      <c r="D10" s="450" t="str">
        <f>IF(E10='Parametre - Agendové IS'!H113,"OK","Chyba počtu FTE")</f>
        <v>OK</v>
      </c>
      <c r="E10" s="451">
        <f t="shared" si="0"/>
        <v>81.775938880516108</v>
      </c>
      <c r="F10" s="897">
        <f>'Parametre - Agendové IS'!H12*'Parametre - Agendové IS'!H52/12/21/7.5</f>
        <v>81.775938880516108</v>
      </c>
      <c r="G10" s="897">
        <v>0</v>
      </c>
      <c r="H10" s="897">
        <v>0</v>
      </c>
      <c r="I10" s="897">
        <v>0</v>
      </c>
    </row>
    <row r="11" spans="1:9" x14ac:dyDescent="0.25">
      <c r="A11" s="1361"/>
      <c r="B11" s="1364"/>
      <c r="C11" s="141" t="s">
        <v>32</v>
      </c>
      <c r="D11" s="450" t="str">
        <f>IF(E11='Parametre - Agendové IS'!H114,"OK","Chyba počtu FTE")</f>
        <v>OK</v>
      </c>
      <c r="E11" s="451">
        <f t="shared" si="0"/>
        <v>81.775938880516108</v>
      </c>
      <c r="F11" s="897">
        <f>'Parametre - Agendové IS'!H13*'Parametre - Agendové IS'!H53/12/21/7.5</f>
        <v>81.775938880516108</v>
      </c>
      <c r="G11" s="897">
        <v>0</v>
      </c>
      <c r="H11" s="897">
        <v>0</v>
      </c>
      <c r="I11" s="897">
        <v>0</v>
      </c>
    </row>
    <row r="12" spans="1:9" x14ac:dyDescent="0.25">
      <c r="A12" s="1361"/>
      <c r="B12" s="1364"/>
      <c r="C12" s="141" t="s">
        <v>33</v>
      </c>
      <c r="D12" s="450" t="str">
        <f>IF(E12='Parametre - Agendové IS'!H115,"OK","Chyba počtu FTE")</f>
        <v>OK</v>
      </c>
      <c r="E12" s="451">
        <f t="shared" si="0"/>
        <v>81.775938880516108</v>
      </c>
      <c r="F12" s="897">
        <f>'Parametre - Agendové IS'!H14*'Parametre - Agendové IS'!H54/12/21/7.5</f>
        <v>81.775938880516108</v>
      </c>
      <c r="G12" s="897">
        <v>0</v>
      </c>
      <c r="H12" s="897">
        <v>0</v>
      </c>
      <c r="I12" s="897">
        <v>0</v>
      </c>
    </row>
    <row r="13" spans="1:9" ht="15.75" thickBot="1" x14ac:dyDescent="0.3">
      <c r="A13" s="1361"/>
      <c r="B13" s="1364"/>
      <c r="C13" s="141" t="s">
        <v>34</v>
      </c>
      <c r="D13" s="452" t="str">
        <f>IF(E13='Parametre - Agendové IS'!H116,"OK","Chyba počtu FTE")</f>
        <v>OK</v>
      </c>
      <c r="E13" s="453">
        <f t="shared" si="0"/>
        <v>81.775938880516108</v>
      </c>
      <c r="F13" s="898">
        <f>'Parametre - Agendové IS'!H15*'Parametre - Agendové IS'!H55/12/21/7.5</f>
        <v>81.775938880516108</v>
      </c>
      <c r="G13" s="898">
        <v>0</v>
      </c>
      <c r="H13" s="898">
        <v>0</v>
      </c>
      <c r="I13" s="898">
        <v>0</v>
      </c>
    </row>
    <row r="14" spans="1:9" ht="15" customHeight="1" x14ac:dyDescent="0.25">
      <c r="A14" s="1360" t="s">
        <v>41</v>
      </c>
      <c r="B14" s="1363" t="s">
        <v>37</v>
      </c>
      <c r="C14" s="144" t="s">
        <v>25</v>
      </c>
      <c r="D14" s="449" t="str">
        <f>IF(E14='Parametre - Agendové IS'!H6,"OK","Chyba počtu podaní")</f>
        <v>OK</v>
      </c>
      <c r="E14" s="454">
        <f t="shared" si="0"/>
        <v>2800</v>
      </c>
      <c r="F14" s="899">
        <f>'Procesy - AS IS'!AG5</f>
        <v>2800</v>
      </c>
      <c r="G14" s="899">
        <v>0</v>
      </c>
      <c r="H14" s="899">
        <v>0</v>
      </c>
      <c r="I14" s="899">
        <v>0</v>
      </c>
    </row>
    <row r="15" spans="1:9" x14ac:dyDescent="0.25">
      <c r="A15" s="1361"/>
      <c r="B15" s="1364"/>
      <c r="C15" s="141" t="s">
        <v>26</v>
      </c>
      <c r="D15" s="450" t="str">
        <f>IF(E15='Parametre - Agendové IS'!H7,"OK","Chyba počtu podaní")</f>
        <v>OK</v>
      </c>
      <c r="E15" s="451">
        <f t="shared" si="0"/>
        <v>2800</v>
      </c>
      <c r="F15" s="900">
        <f>F14</f>
        <v>2800</v>
      </c>
      <c r="G15" s="900">
        <v>0</v>
      </c>
      <c r="H15" s="900">
        <v>0</v>
      </c>
      <c r="I15" s="900">
        <v>0</v>
      </c>
    </row>
    <row r="16" spans="1:9" x14ac:dyDescent="0.25">
      <c r="A16" s="1361"/>
      <c r="B16" s="1364"/>
      <c r="C16" s="141" t="s">
        <v>27</v>
      </c>
      <c r="D16" s="450" t="str">
        <f>IF(E16='Parametre - Agendové IS'!H8,"OK","Chyba počtu podaní")</f>
        <v>Chyba počtu podaní</v>
      </c>
      <c r="E16" s="451">
        <f t="shared" si="0"/>
        <v>3536.055295727198</v>
      </c>
      <c r="F16" s="900">
        <f>'Procesy - TO BE'!AF6</f>
        <v>3536.055295727198</v>
      </c>
      <c r="G16" s="900">
        <v>0</v>
      </c>
      <c r="H16" s="900">
        <v>0</v>
      </c>
      <c r="I16" s="900">
        <v>0</v>
      </c>
    </row>
    <row r="17" spans="1:9" x14ac:dyDescent="0.25">
      <c r="A17" s="1361"/>
      <c r="B17" s="1364"/>
      <c r="C17" s="141" t="s">
        <v>28</v>
      </c>
      <c r="D17" s="450" t="str">
        <f>IF(E17='Parametre - Agendové IS'!H9,"OK","Chyba počtu podaní")</f>
        <v>OK</v>
      </c>
      <c r="E17" s="451">
        <f t="shared" si="0"/>
        <v>3536.055295727198</v>
      </c>
      <c r="F17" s="900">
        <f t="shared" ref="F17:F23" si="1">F16</f>
        <v>3536.055295727198</v>
      </c>
      <c r="G17" s="900">
        <v>0</v>
      </c>
      <c r="H17" s="900">
        <v>0</v>
      </c>
      <c r="I17" s="900">
        <v>0</v>
      </c>
    </row>
    <row r="18" spans="1:9" x14ac:dyDescent="0.25">
      <c r="A18" s="1361"/>
      <c r="B18" s="1364"/>
      <c r="C18" s="141" t="s">
        <v>29</v>
      </c>
      <c r="D18" s="450" t="str">
        <f>IF(E18='Parametre - Agendové IS'!H10,"OK","Chyba počtu podaní")</f>
        <v>OK</v>
      </c>
      <c r="E18" s="451">
        <f t="shared" si="0"/>
        <v>3536.055295727198</v>
      </c>
      <c r="F18" s="900">
        <f t="shared" si="1"/>
        <v>3536.055295727198</v>
      </c>
      <c r="G18" s="900">
        <v>0</v>
      </c>
      <c r="H18" s="900">
        <v>0</v>
      </c>
      <c r="I18" s="900">
        <v>0</v>
      </c>
    </row>
    <row r="19" spans="1:9" x14ac:dyDescent="0.25">
      <c r="A19" s="1361"/>
      <c r="B19" s="1364"/>
      <c r="C19" s="141" t="s">
        <v>30</v>
      </c>
      <c r="D19" s="450" t="str">
        <f>IF(E19='Parametre - Agendové IS'!H11,"OK","Chyba počtu podaní")</f>
        <v>OK</v>
      </c>
      <c r="E19" s="451">
        <f t="shared" si="0"/>
        <v>3536.055295727198</v>
      </c>
      <c r="F19" s="900">
        <f t="shared" si="1"/>
        <v>3536.055295727198</v>
      </c>
      <c r="G19" s="900">
        <v>0</v>
      </c>
      <c r="H19" s="900">
        <v>0</v>
      </c>
      <c r="I19" s="900">
        <v>0</v>
      </c>
    </row>
    <row r="20" spans="1:9" x14ac:dyDescent="0.25">
      <c r="A20" s="1361"/>
      <c r="B20" s="1364"/>
      <c r="C20" s="141" t="s">
        <v>31</v>
      </c>
      <c r="D20" s="450" t="str">
        <f>IF(E20='Parametre - Agendové IS'!H12,"OK","Chyba počtu podaní")</f>
        <v>OK</v>
      </c>
      <c r="E20" s="451">
        <f t="shared" si="0"/>
        <v>3536.055295727198</v>
      </c>
      <c r="F20" s="900">
        <f t="shared" si="1"/>
        <v>3536.055295727198</v>
      </c>
      <c r="G20" s="900">
        <v>0</v>
      </c>
      <c r="H20" s="900">
        <v>0</v>
      </c>
      <c r="I20" s="900">
        <v>0</v>
      </c>
    </row>
    <row r="21" spans="1:9" x14ac:dyDescent="0.25">
      <c r="A21" s="1361"/>
      <c r="B21" s="1364"/>
      <c r="C21" s="141" t="s">
        <v>32</v>
      </c>
      <c r="D21" s="450" t="str">
        <f>IF(E21='Parametre - Agendové IS'!H13,"OK","Chyba počtu podaní")</f>
        <v>OK</v>
      </c>
      <c r="E21" s="451">
        <f t="shared" si="0"/>
        <v>3536.055295727198</v>
      </c>
      <c r="F21" s="900">
        <f t="shared" si="1"/>
        <v>3536.055295727198</v>
      </c>
      <c r="G21" s="900">
        <v>0</v>
      </c>
      <c r="H21" s="900">
        <v>0</v>
      </c>
      <c r="I21" s="900">
        <v>0</v>
      </c>
    </row>
    <row r="22" spans="1:9" x14ac:dyDescent="0.25">
      <c r="A22" s="1361"/>
      <c r="B22" s="1364"/>
      <c r="C22" s="141" t="s">
        <v>33</v>
      </c>
      <c r="D22" s="450" t="str">
        <f>IF(E22='Parametre - Agendové IS'!H14,"OK","Chyba počtu podaní")</f>
        <v>OK</v>
      </c>
      <c r="E22" s="451">
        <f t="shared" si="0"/>
        <v>3536.055295727198</v>
      </c>
      <c r="F22" s="900">
        <f t="shared" si="1"/>
        <v>3536.055295727198</v>
      </c>
      <c r="G22" s="900">
        <v>0</v>
      </c>
      <c r="H22" s="900">
        <v>0</v>
      </c>
      <c r="I22" s="900">
        <v>0</v>
      </c>
    </row>
    <row r="23" spans="1:9" ht="15.75" thickBot="1" x14ac:dyDescent="0.3">
      <c r="A23" s="1362"/>
      <c r="B23" s="1365"/>
      <c r="C23" s="142" t="s">
        <v>34</v>
      </c>
      <c r="D23" s="450" t="str">
        <f>IF(E23='Parametre - Agendové IS'!H15,"OK","Chyba počtu podaní")</f>
        <v>OK</v>
      </c>
      <c r="E23" s="451">
        <f t="shared" si="0"/>
        <v>3536.055295727198</v>
      </c>
      <c r="F23" s="900">
        <f t="shared" si="1"/>
        <v>3536.055295727198</v>
      </c>
      <c r="G23" s="900">
        <v>0</v>
      </c>
      <c r="H23" s="900">
        <v>0</v>
      </c>
      <c r="I23" s="900">
        <v>0</v>
      </c>
    </row>
    <row r="24" spans="1:9" x14ac:dyDescent="0.25">
      <c r="A24" s="1360" t="s">
        <v>39</v>
      </c>
      <c r="B24" s="1363" t="s">
        <v>13</v>
      </c>
      <c r="C24" s="144" t="s">
        <v>25</v>
      </c>
      <c r="D24" s="449" t="str">
        <f>IF(E24='Parametre - Agendové IS'!H157,"OK","Chyba")</f>
        <v>OK</v>
      </c>
      <c r="E24" s="454">
        <f t="shared" si="0"/>
        <v>1653791.5403357965</v>
      </c>
      <c r="F24" s="504">
        <f>'Parametre - Agendové IS'!$H76</f>
        <v>1653791.5403357965</v>
      </c>
      <c r="G24" s="504">
        <v>0</v>
      </c>
      <c r="H24" s="504">
        <v>0</v>
      </c>
      <c r="I24" s="504">
        <v>0</v>
      </c>
    </row>
    <row r="25" spans="1:9" x14ac:dyDescent="0.25">
      <c r="A25" s="1361"/>
      <c r="B25" s="1364"/>
      <c r="C25" s="141" t="s">
        <v>26</v>
      </c>
      <c r="D25" s="450" t="str">
        <f>IF(E25='Parametre - Agendové IS'!H158,"OK","Chyba")</f>
        <v>OK</v>
      </c>
      <c r="E25" s="451">
        <f t="shared" si="0"/>
        <v>1653791.5403357965</v>
      </c>
      <c r="F25" s="505">
        <f>'Parametre - Agendové IS'!$H77</f>
        <v>1653791.5403357965</v>
      </c>
      <c r="G25" s="505">
        <v>0</v>
      </c>
      <c r="H25" s="505">
        <v>0</v>
      </c>
      <c r="I25" s="505">
        <v>0</v>
      </c>
    </row>
    <row r="26" spans="1:9" x14ac:dyDescent="0.25">
      <c r="A26" s="1361"/>
      <c r="B26" s="1364"/>
      <c r="C26" s="141" t="s">
        <v>27</v>
      </c>
      <c r="D26" s="450" t="str">
        <f>IF(E26='Parametre - Agendové IS'!H159,"OK","Chyba")</f>
        <v>OK</v>
      </c>
      <c r="E26" s="451">
        <f t="shared" si="0"/>
        <v>1653791.5403357965</v>
      </c>
      <c r="F26" s="505">
        <f>'Parametre - Agendové IS'!$H78</f>
        <v>1653791.5403357965</v>
      </c>
      <c r="G26" s="505">
        <v>0</v>
      </c>
      <c r="H26" s="505">
        <v>0</v>
      </c>
      <c r="I26" s="505">
        <v>0</v>
      </c>
    </row>
    <row r="27" spans="1:9" x14ac:dyDescent="0.25">
      <c r="A27" s="1361"/>
      <c r="B27" s="1364"/>
      <c r="C27" s="141" t="s">
        <v>28</v>
      </c>
      <c r="D27" s="450" t="str">
        <f>IF(E27='Parametre - Agendové IS'!H160,"OK","Chyba")</f>
        <v>OK</v>
      </c>
      <c r="E27" s="451">
        <f t="shared" si="0"/>
        <v>2401600.9586173445</v>
      </c>
      <c r="F27" s="505">
        <f>'Parametre - Agendové IS'!$H79</f>
        <v>2401600.9586173445</v>
      </c>
      <c r="G27" s="505">
        <v>0</v>
      </c>
      <c r="H27" s="505">
        <v>0</v>
      </c>
      <c r="I27" s="505">
        <v>0</v>
      </c>
    </row>
    <row r="28" spans="1:9" x14ac:dyDescent="0.25">
      <c r="A28" s="1361"/>
      <c r="B28" s="1364"/>
      <c r="C28" s="141" t="s">
        <v>29</v>
      </c>
      <c r="D28" s="450" t="str">
        <f>IF(E28='Parametre - Agendové IS'!H161,"OK","Chyba")</f>
        <v>OK</v>
      </c>
      <c r="E28" s="451">
        <f t="shared" si="0"/>
        <v>2401600.9586173445</v>
      </c>
      <c r="F28" s="505">
        <f>'Parametre - Agendové IS'!$H80</f>
        <v>2401600.9586173445</v>
      </c>
      <c r="G28" s="505">
        <v>0</v>
      </c>
      <c r="H28" s="505">
        <v>0</v>
      </c>
      <c r="I28" s="505">
        <v>0</v>
      </c>
    </row>
    <row r="29" spans="1:9" x14ac:dyDescent="0.25">
      <c r="A29" s="1361"/>
      <c r="B29" s="1364"/>
      <c r="C29" s="141" t="s">
        <v>30</v>
      </c>
      <c r="D29" s="450" t="str">
        <f>IF(E29='Parametre - Agendové IS'!H162,"OK","Chyba")</f>
        <v>OK</v>
      </c>
      <c r="E29" s="451">
        <f t="shared" si="0"/>
        <v>2401600.9586173445</v>
      </c>
      <c r="F29" s="505">
        <f>'Parametre - Agendové IS'!$H81</f>
        <v>2401600.9586173445</v>
      </c>
      <c r="G29" s="505">
        <v>0</v>
      </c>
      <c r="H29" s="505">
        <v>0</v>
      </c>
      <c r="I29" s="505">
        <v>0</v>
      </c>
    </row>
    <row r="30" spans="1:9" x14ac:dyDescent="0.25">
      <c r="A30" s="1361"/>
      <c r="B30" s="1364"/>
      <c r="C30" s="141" t="s">
        <v>31</v>
      </c>
      <c r="D30" s="450" t="str">
        <f>IF(E30='Parametre - Agendové IS'!H163,"OK","Chyba")</f>
        <v>OK</v>
      </c>
      <c r="E30" s="451">
        <f t="shared" si="0"/>
        <v>2401600.9586173445</v>
      </c>
      <c r="F30" s="505">
        <f>'Parametre - Agendové IS'!$H82</f>
        <v>2401600.9586173445</v>
      </c>
      <c r="G30" s="505">
        <v>0</v>
      </c>
      <c r="H30" s="505">
        <v>0</v>
      </c>
      <c r="I30" s="505">
        <v>0</v>
      </c>
    </row>
    <row r="31" spans="1:9" x14ac:dyDescent="0.25">
      <c r="A31" s="1361"/>
      <c r="B31" s="1364"/>
      <c r="C31" s="141" t="s">
        <v>32</v>
      </c>
      <c r="D31" s="450" t="str">
        <f>IF(E31='Parametre - Agendové IS'!H164,"OK","Chyba")</f>
        <v>OK</v>
      </c>
      <c r="E31" s="451">
        <f t="shared" si="0"/>
        <v>2401600.9586173445</v>
      </c>
      <c r="F31" s="505">
        <f>'Parametre - Agendové IS'!$H83</f>
        <v>2401600.9586173445</v>
      </c>
      <c r="G31" s="505">
        <v>0</v>
      </c>
      <c r="H31" s="505">
        <v>0</v>
      </c>
      <c r="I31" s="505">
        <v>0</v>
      </c>
    </row>
    <row r="32" spans="1:9" x14ac:dyDescent="0.25">
      <c r="A32" s="1361"/>
      <c r="B32" s="1364"/>
      <c r="C32" s="141" t="s">
        <v>33</v>
      </c>
      <c r="D32" s="450" t="str">
        <f>IF(E32='Parametre - Agendové IS'!H165,"OK","Chyba")</f>
        <v>OK</v>
      </c>
      <c r="E32" s="451">
        <f t="shared" si="0"/>
        <v>2401600.9586173445</v>
      </c>
      <c r="F32" s="505">
        <f>'Parametre - Agendové IS'!$H84</f>
        <v>2401600.9586173445</v>
      </c>
      <c r="G32" s="505">
        <v>0</v>
      </c>
      <c r="H32" s="505">
        <v>0</v>
      </c>
      <c r="I32" s="505">
        <v>0</v>
      </c>
    </row>
    <row r="33" spans="1:9" ht="15.75" thickBot="1" x14ac:dyDescent="0.3">
      <c r="A33" s="1362"/>
      <c r="B33" s="1365"/>
      <c r="C33" s="142" t="s">
        <v>34</v>
      </c>
      <c r="D33" s="450" t="str">
        <f>IF(E33='Parametre - Agendové IS'!H166,"OK","Chyba")</f>
        <v>OK</v>
      </c>
      <c r="E33" s="451">
        <f t="shared" si="0"/>
        <v>2401600.9586173445</v>
      </c>
      <c r="F33" s="505">
        <f>'Parametre - Agendové IS'!$H85</f>
        <v>2401600.9586173445</v>
      </c>
      <c r="G33" s="505">
        <v>0</v>
      </c>
      <c r="H33" s="505">
        <v>0</v>
      </c>
      <c r="I33" s="505">
        <v>0</v>
      </c>
    </row>
    <row r="34" spans="1:9" x14ac:dyDescent="0.25">
      <c r="A34" s="139"/>
      <c r="B34" s="140"/>
      <c r="D34" s="683"/>
    </row>
    <row r="35" spans="1:9" x14ac:dyDescent="0.25">
      <c r="A35" s="139"/>
      <c r="B35" s="140"/>
    </row>
    <row r="36" spans="1:9" ht="15.75" thickBot="1" x14ac:dyDescent="0.3">
      <c r="A36" s="139"/>
      <c r="B36" s="140"/>
    </row>
    <row r="37" spans="1:9" x14ac:dyDescent="0.25">
      <c r="A37" s="1366" t="str">
        <f>'Parametre - Agendové IS'!J1</f>
        <v>Mobilný Agendový informačný systém KSED</v>
      </c>
      <c r="B37" s="1367"/>
      <c r="C37" s="1368"/>
      <c r="D37" s="1372" t="s">
        <v>103</v>
      </c>
      <c r="E37" s="1373"/>
      <c r="F37" s="262" t="str">
        <f>$F$2</f>
        <v>SIŽP</v>
      </c>
      <c r="G37" s="262" t="s">
        <v>154</v>
      </c>
      <c r="H37" s="262" t="s">
        <v>155</v>
      </c>
      <c r="I37" s="262" t="s">
        <v>157</v>
      </c>
    </row>
    <row r="38" spans="1:9" ht="15.75" thickBot="1" x14ac:dyDescent="0.3">
      <c r="A38" s="1369"/>
      <c r="B38" s="1370"/>
      <c r="C38" s="1371"/>
      <c r="D38" s="446" t="s">
        <v>298</v>
      </c>
      <c r="E38" s="447" t="s">
        <v>156</v>
      </c>
      <c r="F38" s="143" t="s">
        <v>156</v>
      </c>
      <c r="G38" s="143" t="s">
        <v>156</v>
      </c>
      <c r="H38" s="143" t="s">
        <v>156</v>
      </c>
      <c r="I38" s="143" t="s">
        <v>156</v>
      </c>
    </row>
    <row r="39" spans="1:9" x14ac:dyDescent="0.25">
      <c r="A39" s="1360" t="s">
        <v>43</v>
      </c>
      <c r="B39" s="1363" t="s">
        <v>174</v>
      </c>
      <c r="C39" s="144" t="s">
        <v>25</v>
      </c>
      <c r="D39" s="448" t="str">
        <f>IF(E39='Parametre - Agendové IS'!K107,"OK","Chyba počtu FTE")</f>
        <v>OK</v>
      </c>
      <c r="E39" s="449">
        <f t="shared" ref="E39:E68" si="2">F39+G39+H39+I39</f>
        <v>28.616392527577531</v>
      </c>
      <c r="F39" s="896">
        <f>'Parametre - Agendové IS'!K6*'Parametre - Agendové IS'!K46/12/21/7.5</f>
        <v>28.616392527577531</v>
      </c>
      <c r="G39" s="896">
        <v>0</v>
      </c>
      <c r="H39" s="896">
        <v>0</v>
      </c>
      <c r="I39" s="896">
        <v>0</v>
      </c>
    </row>
    <row r="40" spans="1:9" x14ac:dyDescent="0.25">
      <c r="A40" s="1361"/>
      <c r="B40" s="1364"/>
      <c r="C40" s="141" t="s">
        <v>26</v>
      </c>
      <c r="D40" s="450" t="str">
        <f>IF(E40='Parametre - Agendové IS'!K108,"OK","Chyba počtu FTE")</f>
        <v>OK</v>
      </c>
      <c r="E40" s="451">
        <f t="shared" si="2"/>
        <v>28.616392527577531</v>
      </c>
      <c r="F40" s="897">
        <f>'Parametre - Agendové IS'!K7*'Parametre - Agendové IS'!K47/12/21/7.5</f>
        <v>28.616392527577531</v>
      </c>
      <c r="G40" s="897">
        <v>0</v>
      </c>
      <c r="H40" s="897">
        <v>0</v>
      </c>
      <c r="I40" s="897">
        <v>0</v>
      </c>
    </row>
    <row r="41" spans="1:9" x14ac:dyDescent="0.25">
      <c r="A41" s="1361"/>
      <c r="B41" s="1364"/>
      <c r="C41" s="141" t="s">
        <v>27</v>
      </c>
      <c r="D41" s="450" t="str">
        <f>IF(E41='Parametre - Agendové IS'!K109,"OK","Chyba počtu FTE")</f>
        <v>OK</v>
      </c>
      <c r="E41" s="451">
        <f t="shared" si="2"/>
        <v>28.616392527577531</v>
      </c>
      <c r="F41" s="897">
        <f>'Parametre - Agendové IS'!K8*'Parametre - Agendové IS'!K48/12/21/7.5</f>
        <v>28.616392527577531</v>
      </c>
      <c r="G41" s="897">
        <v>0</v>
      </c>
      <c r="H41" s="897">
        <v>0</v>
      </c>
      <c r="I41" s="897">
        <v>0</v>
      </c>
    </row>
    <row r="42" spans="1:9" x14ac:dyDescent="0.25">
      <c r="A42" s="1361"/>
      <c r="B42" s="1364"/>
      <c r="C42" s="141" t="s">
        <v>28</v>
      </c>
      <c r="D42" s="450" t="str">
        <f>IF(E42='Parametre - Agendové IS'!K110,"OK","Chyba počtu FTE")</f>
        <v>OK</v>
      </c>
      <c r="E42" s="451">
        <f t="shared" si="2"/>
        <v>21.698952051387053</v>
      </c>
      <c r="F42" s="897">
        <f>'Parametre - Agendové IS'!K9*'Parametre - Agendové IS'!K49/12/21/7.5</f>
        <v>21.698952051387053</v>
      </c>
      <c r="G42" s="897">
        <v>0</v>
      </c>
      <c r="H42" s="897">
        <v>0</v>
      </c>
      <c r="I42" s="897">
        <v>0</v>
      </c>
    </row>
    <row r="43" spans="1:9" x14ac:dyDescent="0.25">
      <c r="A43" s="1361"/>
      <c r="B43" s="1364"/>
      <c r="C43" s="141" t="s">
        <v>29</v>
      </c>
      <c r="D43" s="450" t="str">
        <f>IF(E43='Parametre - Agendové IS'!K111,"OK","Chyba počtu FTE")</f>
        <v>OK</v>
      </c>
      <c r="E43" s="451">
        <f t="shared" si="2"/>
        <v>21.698952051387053</v>
      </c>
      <c r="F43" s="897">
        <f>'Parametre - Agendové IS'!K10*'Parametre - Agendové IS'!K50/12/21/7.5</f>
        <v>21.698952051387053</v>
      </c>
      <c r="G43" s="897">
        <v>0</v>
      </c>
      <c r="H43" s="897">
        <v>0</v>
      </c>
      <c r="I43" s="897">
        <v>0</v>
      </c>
    </row>
    <row r="44" spans="1:9" ht="15" customHeight="1" x14ac:dyDescent="0.25">
      <c r="A44" s="1361"/>
      <c r="B44" s="1364"/>
      <c r="C44" s="141" t="s">
        <v>30</v>
      </c>
      <c r="D44" s="450" t="str">
        <f>IF(E44='Parametre - Agendové IS'!K112,"OK","Chyba počtu FTE")</f>
        <v>OK</v>
      </c>
      <c r="E44" s="451">
        <f t="shared" si="2"/>
        <v>21.698952051387053</v>
      </c>
      <c r="F44" s="897">
        <f>'Parametre - Agendové IS'!K11*'Parametre - Agendové IS'!K51/12/21/7.5</f>
        <v>21.698952051387053</v>
      </c>
      <c r="G44" s="897">
        <v>0</v>
      </c>
      <c r="H44" s="897">
        <v>0</v>
      </c>
      <c r="I44" s="897">
        <v>0</v>
      </c>
    </row>
    <row r="45" spans="1:9" x14ac:dyDescent="0.25">
      <c r="A45" s="1361"/>
      <c r="B45" s="1364"/>
      <c r="C45" s="141" t="s">
        <v>31</v>
      </c>
      <c r="D45" s="450" t="str">
        <f>IF(E45='Parametre - Agendové IS'!K113,"OK","Chyba počtu FTE")</f>
        <v>OK</v>
      </c>
      <c r="E45" s="451">
        <f t="shared" si="2"/>
        <v>21.698952051387053</v>
      </c>
      <c r="F45" s="897">
        <f>'Parametre - Agendové IS'!K12*'Parametre - Agendové IS'!K52/12/21/7.5</f>
        <v>21.698952051387053</v>
      </c>
      <c r="G45" s="897">
        <v>0</v>
      </c>
      <c r="H45" s="897">
        <v>0</v>
      </c>
      <c r="I45" s="897">
        <v>0</v>
      </c>
    </row>
    <row r="46" spans="1:9" x14ac:dyDescent="0.25">
      <c r="A46" s="1361"/>
      <c r="B46" s="1364"/>
      <c r="C46" s="141" t="s">
        <v>32</v>
      </c>
      <c r="D46" s="450" t="str">
        <f>IF(E46='Parametre - Agendové IS'!K114,"OK","Chyba počtu FTE")</f>
        <v>OK</v>
      </c>
      <c r="E46" s="451">
        <f t="shared" si="2"/>
        <v>21.698952051387053</v>
      </c>
      <c r="F46" s="897">
        <f>'Parametre - Agendové IS'!K13*'Parametre - Agendové IS'!K53/12/21/7.5</f>
        <v>21.698952051387053</v>
      </c>
      <c r="G46" s="897">
        <v>0</v>
      </c>
      <c r="H46" s="897">
        <v>0</v>
      </c>
      <c r="I46" s="897">
        <v>0</v>
      </c>
    </row>
    <row r="47" spans="1:9" x14ac:dyDescent="0.25">
      <c r="A47" s="1361"/>
      <c r="B47" s="1364"/>
      <c r="C47" s="141" t="s">
        <v>33</v>
      </c>
      <c r="D47" s="450" t="str">
        <f>IF(E47='Parametre - Agendové IS'!K115,"OK","Chyba počtu FTE")</f>
        <v>OK</v>
      </c>
      <c r="E47" s="451">
        <f t="shared" si="2"/>
        <v>21.698952051387053</v>
      </c>
      <c r="F47" s="897">
        <f>'Parametre - Agendové IS'!K14*'Parametre - Agendové IS'!K54/12/21/7.5</f>
        <v>21.698952051387053</v>
      </c>
      <c r="G47" s="897">
        <v>0</v>
      </c>
      <c r="H47" s="897">
        <v>0</v>
      </c>
      <c r="I47" s="897">
        <v>0</v>
      </c>
    </row>
    <row r="48" spans="1:9" ht="15.75" thickBot="1" x14ac:dyDescent="0.3">
      <c r="A48" s="1361"/>
      <c r="B48" s="1364"/>
      <c r="C48" s="141" t="s">
        <v>34</v>
      </c>
      <c r="D48" s="452" t="str">
        <f>IF(E48='Parametre - Agendové IS'!K116,"OK","Chyba počtu FTE")</f>
        <v>OK</v>
      </c>
      <c r="E48" s="453">
        <f t="shared" si="2"/>
        <v>21.698952051387053</v>
      </c>
      <c r="F48" s="898">
        <f>'Parametre - Agendové IS'!K15*'Parametre - Agendové IS'!K55/12/21/7.5</f>
        <v>21.698952051387053</v>
      </c>
      <c r="G48" s="898">
        <v>0</v>
      </c>
      <c r="H48" s="898">
        <v>0</v>
      </c>
      <c r="I48" s="898">
        <v>0</v>
      </c>
    </row>
    <row r="49" spans="1:9" x14ac:dyDescent="0.25">
      <c r="A49" s="1360" t="s">
        <v>41</v>
      </c>
      <c r="B49" s="1363" t="s">
        <v>37</v>
      </c>
      <c r="C49" s="144" t="s">
        <v>25</v>
      </c>
      <c r="D49" s="449" t="str">
        <f>IF(E49='Parametre - Agendové IS'!K6,"OK","Chyba počtu podaní")</f>
        <v>OK</v>
      </c>
      <c r="E49" s="454">
        <f t="shared" si="2"/>
        <v>2800</v>
      </c>
      <c r="F49" s="899">
        <f>F14</f>
        <v>2800</v>
      </c>
      <c r="G49" s="899">
        <v>0</v>
      </c>
      <c r="H49" s="899">
        <v>0</v>
      </c>
      <c r="I49" s="899">
        <v>0</v>
      </c>
    </row>
    <row r="50" spans="1:9" x14ac:dyDescent="0.25">
      <c r="A50" s="1361"/>
      <c r="B50" s="1364"/>
      <c r="C50" s="141" t="s">
        <v>26</v>
      </c>
      <c r="D50" s="450" t="str">
        <f>IF(E50='Parametre - Agendové IS'!K7,"OK","Chyba počtu podaní")</f>
        <v>OK</v>
      </c>
      <c r="E50" s="451">
        <f t="shared" si="2"/>
        <v>2800</v>
      </c>
      <c r="F50" s="900">
        <f>F49</f>
        <v>2800</v>
      </c>
      <c r="G50" s="900">
        <v>0</v>
      </c>
      <c r="H50" s="900">
        <v>0</v>
      </c>
      <c r="I50" s="900">
        <v>0</v>
      </c>
    </row>
    <row r="51" spans="1:9" x14ac:dyDescent="0.25">
      <c r="A51" s="1361"/>
      <c r="B51" s="1364"/>
      <c r="C51" s="141" t="s">
        <v>27</v>
      </c>
      <c r="D51" s="450" t="str">
        <f>IF(E51='Parametre - Agendové IS'!K8,"OK","Chyba počtu podaní")</f>
        <v>Chyba počtu podaní</v>
      </c>
      <c r="E51" s="451">
        <f t="shared" si="2"/>
        <v>3536.055295727198</v>
      </c>
      <c r="F51" s="900">
        <f>F16</f>
        <v>3536.055295727198</v>
      </c>
      <c r="G51" s="900">
        <v>0</v>
      </c>
      <c r="H51" s="900">
        <v>0</v>
      </c>
      <c r="I51" s="900">
        <v>0</v>
      </c>
    </row>
    <row r="52" spans="1:9" x14ac:dyDescent="0.25">
      <c r="A52" s="1361"/>
      <c r="B52" s="1364"/>
      <c r="C52" s="141" t="s">
        <v>28</v>
      </c>
      <c r="D52" s="450" t="str">
        <f>IF(E52='Parametre - Agendové IS'!K9,"OK","Chyba počtu podaní")</f>
        <v>OK</v>
      </c>
      <c r="E52" s="451">
        <f t="shared" si="2"/>
        <v>3536.055295727198</v>
      </c>
      <c r="F52" s="900">
        <f t="shared" ref="F52:F58" si="3">F51</f>
        <v>3536.055295727198</v>
      </c>
      <c r="G52" s="900">
        <v>0</v>
      </c>
      <c r="H52" s="900">
        <v>0</v>
      </c>
      <c r="I52" s="900">
        <v>0</v>
      </c>
    </row>
    <row r="53" spans="1:9" x14ac:dyDescent="0.25">
      <c r="A53" s="1361"/>
      <c r="B53" s="1364"/>
      <c r="C53" s="141" t="s">
        <v>29</v>
      </c>
      <c r="D53" s="450" t="str">
        <f>IF(E53='Parametre - Agendové IS'!K10,"OK","Chyba počtu podaní")</f>
        <v>OK</v>
      </c>
      <c r="E53" s="451">
        <f t="shared" si="2"/>
        <v>3536.055295727198</v>
      </c>
      <c r="F53" s="900">
        <f t="shared" si="3"/>
        <v>3536.055295727198</v>
      </c>
      <c r="G53" s="900">
        <v>0</v>
      </c>
      <c r="H53" s="900">
        <v>0</v>
      </c>
      <c r="I53" s="900">
        <v>0</v>
      </c>
    </row>
    <row r="54" spans="1:9" x14ac:dyDescent="0.25">
      <c r="A54" s="1361"/>
      <c r="B54" s="1364"/>
      <c r="C54" s="141" t="s">
        <v>30</v>
      </c>
      <c r="D54" s="450" t="str">
        <f>IF(E54='Parametre - Agendové IS'!K11,"OK","Chyba počtu podaní")</f>
        <v>OK</v>
      </c>
      <c r="E54" s="451">
        <f t="shared" si="2"/>
        <v>3536.055295727198</v>
      </c>
      <c r="F54" s="900">
        <f t="shared" si="3"/>
        <v>3536.055295727198</v>
      </c>
      <c r="G54" s="900">
        <v>0</v>
      </c>
      <c r="H54" s="900">
        <v>0</v>
      </c>
      <c r="I54" s="900">
        <v>0</v>
      </c>
    </row>
    <row r="55" spans="1:9" x14ac:dyDescent="0.25">
      <c r="A55" s="1361"/>
      <c r="B55" s="1364"/>
      <c r="C55" s="141" t="s">
        <v>31</v>
      </c>
      <c r="D55" s="450" t="str">
        <f>IF(E55='Parametre - Agendové IS'!K12,"OK","Chyba počtu podaní")</f>
        <v>OK</v>
      </c>
      <c r="E55" s="451">
        <f t="shared" si="2"/>
        <v>3536.055295727198</v>
      </c>
      <c r="F55" s="900">
        <f t="shared" si="3"/>
        <v>3536.055295727198</v>
      </c>
      <c r="G55" s="900">
        <v>0</v>
      </c>
      <c r="H55" s="900">
        <v>0</v>
      </c>
      <c r="I55" s="900">
        <v>0</v>
      </c>
    </row>
    <row r="56" spans="1:9" x14ac:dyDescent="0.25">
      <c r="A56" s="1361"/>
      <c r="B56" s="1364"/>
      <c r="C56" s="141" t="s">
        <v>32</v>
      </c>
      <c r="D56" s="450" t="str">
        <f>IF(E56='Parametre - Agendové IS'!K13,"OK","Chyba počtu podaní")</f>
        <v>OK</v>
      </c>
      <c r="E56" s="451">
        <f t="shared" si="2"/>
        <v>3536.055295727198</v>
      </c>
      <c r="F56" s="900">
        <f t="shared" si="3"/>
        <v>3536.055295727198</v>
      </c>
      <c r="G56" s="900">
        <v>0</v>
      </c>
      <c r="H56" s="900">
        <v>0</v>
      </c>
      <c r="I56" s="900">
        <v>0</v>
      </c>
    </row>
    <row r="57" spans="1:9" x14ac:dyDescent="0.25">
      <c r="A57" s="1361"/>
      <c r="B57" s="1364"/>
      <c r="C57" s="141" t="s">
        <v>33</v>
      </c>
      <c r="D57" s="450" t="str">
        <f>IF(E57='Parametre - Agendové IS'!K14,"OK","Chyba počtu podaní")</f>
        <v>OK</v>
      </c>
      <c r="E57" s="451">
        <f t="shared" si="2"/>
        <v>3536.055295727198</v>
      </c>
      <c r="F57" s="900">
        <f t="shared" si="3"/>
        <v>3536.055295727198</v>
      </c>
      <c r="G57" s="900">
        <v>0</v>
      </c>
      <c r="H57" s="900">
        <v>0</v>
      </c>
      <c r="I57" s="900">
        <v>0</v>
      </c>
    </row>
    <row r="58" spans="1:9" ht="15.75" thickBot="1" x14ac:dyDescent="0.3">
      <c r="A58" s="1362"/>
      <c r="B58" s="1365"/>
      <c r="C58" s="142" t="s">
        <v>34</v>
      </c>
      <c r="D58" s="450" t="str">
        <f>IF(E58='Parametre - Agendové IS'!K15,"OK","Chyba počtu podaní")</f>
        <v>OK</v>
      </c>
      <c r="E58" s="451">
        <f t="shared" si="2"/>
        <v>3536.055295727198</v>
      </c>
      <c r="F58" s="900">
        <f t="shared" si="3"/>
        <v>3536.055295727198</v>
      </c>
      <c r="G58" s="900">
        <v>0</v>
      </c>
      <c r="H58" s="900">
        <v>0</v>
      </c>
      <c r="I58" s="900">
        <v>0</v>
      </c>
    </row>
    <row r="59" spans="1:9" x14ac:dyDescent="0.25">
      <c r="A59" s="1360" t="s">
        <v>39</v>
      </c>
      <c r="B59" s="1363" t="s">
        <v>13</v>
      </c>
      <c r="C59" s="144" t="s">
        <v>25</v>
      </c>
      <c r="D59" s="449" t="str">
        <f>IF(E59='Parametre - Agendové IS'!K157,"OK","Chyba")</f>
        <v>OK</v>
      </c>
      <c r="E59" s="454">
        <f t="shared" si="2"/>
        <v>438827.65307248663</v>
      </c>
      <c r="F59" s="504">
        <f>'Parametre - Agendové IS'!$K76</f>
        <v>438827.65307248663</v>
      </c>
      <c r="G59" s="504">
        <v>0</v>
      </c>
      <c r="H59" s="504">
        <v>0</v>
      </c>
      <c r="I59" s="504">
        <v>0</v>
      </c>
    </row>
    <row r="60" spans="1:9" x14ac:dyDescent="0.25">
      <c r="A60" s="1361"/>
      <c r="B60" s="1364"/>
      <c r="C60" s="141" t="s">
        <v>26</v>
      </c>
      <c r="D60" s="450" t="str">
        <f>IF(E60='Parametre - Agendové IS'!K158,"OK","Chyba")</f>
        <v>OK</v>
      </c>
      <c r="E60" s="451">
        <f t="shared" si="2"/>
        <v>438827.65307248663</v>
      </c>
      <c r="F60" s="505">
        <f>'Parametre - Agendové IS'!$K77</f>
        <v>438827.65307248663</v>
      </c>
      <c r="G60" s="505">
        <v>0</v>
      </c>
      <c r="H60" s="505">
        <v>0</v>
      </c>
      <c r="I60" s="505">
        <v>0</v>
      </c>
    </row>
    <row r="61" spans="1:9" x14ac:dyDescent="0.25">
      <c r="A61" s="1361"/>
      <c r="B61" s="1364"/>
      <c r="C61" s="141" t="s">
        <v>27</v>
      </c>
      <c r="D61" s="450" t="str">
        <f>IF(E61='Parametre - Agendové IS'!K159,"OK","Chyba")</f>
        <v>OK</v>
      </c>
      <c r="E61" s="451">
        <f t="shared" si="2"/>
        <v>438827.65307248663</v>
      </c>
      <c r="F61" s="505">
        <f>'Parametre - Agendové IS'!$K78</f>
        <v>438827.65307248663</v>
      </c>
      <c r="G61" s="505">
        <v>0</v>
      </c>
      <c r="H61" s="505">
        <v>0</v>
      </c>
      <c r="I61" s="505">
        <v>0</v>
      </c>
    </row>
    <row r="62" spans="1:9" x14ac:dyDescent="0.25">
      <c r="A62" s="1361"/>
      <c r="B62" s="1364"/>
      <c r="C62" s="141" t="s">
        <v>28</v>
      </c>
      <c r="D62" s="450" t="str">
        <f>IF(E62='Parametre - Agendové IS'!K160,"OK","Chyba")</f>
        <v>OK</v>
      </c>
      <c r="E62" s="451">
        <f t="shared" si="2"/>
        <v>637256.19981868751</v>
      </c>
      <c r="F62" s="505">
        <f>'Parametre - Agendové IS'!$K79</f>
        <v>637256.19981868751</v>
      </c>
      <c r="G62" s="505">
        <v>0</v>
      </c>
      <c r="H62" s="505">
        <v>0</v>
      </c>
      <c r="I62" s="505">
        <v>0</v>
      </c>
    </row>
    <row r="63" spans="1:9" x14ac:dyDescent="0.25">
      <c r="A63" s="1361"/>
      <c r="B63" s="1364"/>
      <c r="C63" s="141" t="s">
        <v>29</v>
      </c>
      <c r="D63" s="450" t="str">
        <f>IF(E63='Parametre - Agendové IS'!K161,"OK","Chyba")</f>
        <v>OK</v>
      </c>
      <c r="E63" s="451">
        <f t="shared" si="2"/>
        <v>637256.19981868751</v>
      </c>
      <c r="F63" s="505">
        <f>'Parametre - Agendové IS'!$K80</f>
        <v>637256.19981868751</v>
      </c>
      <c r="G63" s="505">
        <v>0</v>
      </c>
      <c r="H63" s="505">
        <v>0</v>
      </c>
      <c r="I63" s="505">
        <v>0</v>
      </c>
    </row>
    <row r="64" spans="1:9" x14ac:dyDescent="0.25">
      <c r="A64" s="1361"/>
      <c r="B64" s="1364"/>
      <c r="C64" s="141" t="s">
        <v>30</v>
      </c>
      <c r="D64" s="450" t="str">
        <f>IF(E64='Parametre - Agendové IS'!K162,"OK","Chyba")</f>
        <v>OK</v>
      </c>
      <c r="E64" s="451">
        <f t="shared" si="2"/>
        <v>637256.19981868751</v>
      </c>
      <c r="F64" s="505">
        <f>'Parametre - Agendové IS'!$K81</f>
        <v>637256.19981868751</v>
      </c>
      <c r="G64" s="505">
        <v>0</v>
      </c>
      <c r="H64" s="505">
        <v>0</v>
      </c>
      <c r="I64" s="505">
        <v>0</v>
      </c>
    </row>
    <row r="65" spans="1:9" x14ac:dyDescent="0.25">
      <c r="A65" s="1361"/>
      <c r="B65" s="1364"/>
      <c r="C65" s="141" t="s">
        <v>31</v>
      </c>
      <c r="D65" s="450" t="str">
        <f>IF(E65='Parametre - Agendové IS'!K163,"OK","Chyba")</f>
        <v>OK</v>
      </c>
      <c r="E65" s="451">
        <f t="shared" si="2"/>
        <v>637256.19981868751</v>
      </c>
      <c r="F65" s="505">
        <f>'Parametre - Agendové IS'!$K82</f>
        <v>637256.19981868751</v>
      </c>
      <c r="G65" s="505">
        <v>0</v>
      </c>
      <c r="H65" s="505">
        <v>0</v>
      </c>
      <c r="I65" s="505">
        <v>0</v>
      </c>
    </row>
    <row r="66" spans="1:9" x14ac:dyDescent="0.25">
      <c r="A66" s="1361"/>
      <c r="B66" s="1364"/>
      <c r="C66" s="141" t="s">
        <v>32</v>
      </c>
      <c r="D66" s="450" t="str">
        <f>IF(E66='Parametre - Agendové IS'!K164,"OK","Chyba")</f>
        <v>OK</v>
      </c>
      <c r="E66" s="451">
        <f t="shared" si="2"/>
        <v>637256.19981868751</v>
      </c>
      <c r="F66" s="505">
        <f>'Parametre - Agendové IS'!$K83</f>
        <v>637256.19981868751</v>
      </c>
      <c r="G66" s="505">
        <v>0</v>
      </c>
      <c r="H66" s="505">
        <v>0</v>
      </c>
      <c r="I66" s="505">
        <v>0</v>
      </c>
    </row>
    <row r="67" spans="1:9" x14ac:dyDescent="0.25">
      <c r="A67" s="1361"/>
      <c r="B67" s="1364"/>
      <c r="C67" s="141" t="s">
        <v>33</v>
      </c>
      <c r="D67" s="450" t="str">
        <f>IF(E67='Parametre - Agendové IS'!K165,"OK","Chyba")</f>
        <v>OK</v>
      </c>
      <c r="E67" s="451">
        <f t="shared" si="2"/>
        <v>637256.19981868751</v>
      </c>
      <c r="F67" s="505">
        <f>'Parametre - Agendové IS'!$K84</f>
        <v>637256.19981868751</v>
      </c>
      <c r="G67" s="505">
        <v>0</v>
      </c>
      <c r="H67" s="505">
        <v>0</v>
      </c>
      <c r="I67" s="505">
        <v>0</v>
      </c>
    </row>
    <row r="68" spans="1:9" ht="15.75" thickBot="1" x14ac:dyDescent="0.3">
      <c r="A68" s="1362"/>
      <c r="B68" s="1365"/>
      <c r="C68" s="142" t="s">
        <v>34</v>
      </c>
      <c r="D68" s="450" t="str">
        <f>IF(E68='Parametre - Agendové IS'!K166,"OK","Chyba")</f>
        <v>OK</v>
      </c>
      <c r="E68" s="451">
        <f t="shared" si="2"/>
        <v>637256.19981868751</v>
      </c>
      <c r="F68" s="505">
        <f>'Parametre - Agendové IS'!$K85</f>
        <v>637256.19981868751</v>
      </c>
      <c r="G68" s="505">
        <v>0</v>
      </c>
      <c r="H68" s="505">
        <v>0</v>
      </c>
      <c r="I68" s="505">
        <v>0</v>
      </c>
    </row>
    <row r="71" spans="1:9" ht="15.75" thickBot="1" x14ac:dyDescent="0.3"/>
    <row r="72" spans="1:9" x14ac:dyDescent="0.25">
      <c r="A72" s="1366" t="str">
        <f>'Parametre - Agendové IS'!M1</f>
        <v>Verejný portál KSED</v>
      </c>
      <c r="B72" s="1367"/>
      <c r="C72" s="1368"/>
      <c r="D72" s="1372" t="s">
        <v>103</v>
      </c>
      <c r="E72" s="1373"/>
      <c r="F72" s="262" t="str">
        <f>$F$2</f>
        <v>SIŽP</v>
      </c>
      <c r="G72" s="262" t="s">
        <v>154</v>
      </c>
      <c r="H72" s="262" t="s">
        <v>155</v>
      </c>
      <c r="I72" s="262" t="s">
        <v>157</v>
      </c>
    </row>
    <row r="73" spans="1:9" ht="15.75" thickBot="1" x14ac:dyDescent="0.3">
      <c r="A73" s="1369"/>
      <c r="B73" s="1370"/>
      <c r="C73" s="1371"/>
      <c r="D73" s="446" t="s">
        <v>298</v>
      </c>
      <c r="E73" s="447" t="s">
        <v>156</v>
      </c>
      <c r="F73" s="143" t="s">
        <v>156</v>
      </c>
      <c r="G73" s="143" t="s">
        <v>156</v>
      </c>
      <c r="H73" s="143" t="s">
        <v>156</v>
      </c>
      <c r="I73" s="143" t="s">
        <v>156</v>
      </c>
    </row>
    <row r="74" spans="1:9" x14ac:dyDescent="0.25">
      <c r="A74" s="1360" t="s">
        <v>43</v>
      </c>
      <c r="B74" s="1363" t="s">
        <v>174</v>
      </c>
      <c r="C74" s="144" t="s">
        <v>25</v>
      </c>
      <c r="D74" s="448" t="str">
        <f>IF(E74='Parametre - Agendové IS'!N107,"OK","Chyba počtu FTE")</f>
        <v>OK</v>
      </c>
      <c r="E74" s="449">
        <f t="shared" ref="E74:E103" si="4">F74+G74+H74+I74</f>
        <v>1.3526908542933809</v>
      </c>
      <c r="F74" s="896">
        <f>'Parametre - Agendové IS'!N6*'Parametre - Agendové IS'!N46/12/21/7.5</f>
        <v>1.3526908542933809</v>
      </c>
      <c r="G74" s="896">
        <v>0</v>
      </c>
      <c r="H74" s="896">
        <v>0</v>
      </c>
      <c r="I74" s="896">
        <v>0</v>
      </c>
    </row>
    <row r="75" spans="1:9" x14ac:dyDescent="0.25">
      <c r="A75" s="1361"/>
      <c r="B75" s="1364"/>
      <c r="C75" s="141" t="s">
        <v>26</v>
      </c>
      <c r="D75" s="450" t="str">
        <f>IF(E75='Parametre - Agendové IS'!N108,"OK","Chyba počtu FTE")</f>
        <v>OK</v>
      </c>
      <c r="E75" s="451">
        <f t="shared" si="4"/>
        <v>1.3526908542933809</v>
      </c>
      <c r="F75" s="897">
        <f>'Parametre - Agendové IS'!N7*'Parametre - Agendové IS'!N47/12/21/7.5</f>
        <v>1.3526908542933809</v>
      </c>
      <c r="G75" s="897">
        <v>0</v>
      </c>
      <c r="H75" s="897">
        <v>0</v>
      </c>
      <c r="I75" s="897">
        <v>0</v>
      </c>
    </row>
    <row r="76" spans="1:9" x14ac:dyDescent="0.25">
      <c r="A76" s="1361"/>
      <c r="B76" s="1364"/>
      <c r="C76" s="141" t="s">
        <v>27</v>
      </c>
      <c r="D76" s="450" t="str">
        <f>IF(E76='Parametre - Agendové IS'!N109,"OK","Chyba počtu FTE")</f>
        <v>OK</v>
      </c>
      <c r="E76" s="451">
        <f t="shared" si="4"/>
        <v>1.3526908542933809</v>
      </c>
      <c r="F76" s="897">
        <f>'Parametre - Agendové IS'!N8*'Parametre - Agendové IS'!N48/12/21/7.5</f>
        <v>1.3526908542933809</v>
      </c>
      <c r="G76" s="897">
        <v>0</v>
      </c>
      <c r="H76" s="897">
        <v>0</v>
      </c>
      <c r="I76" s="897">
        <v>0</v>
      </c>
    </row>
    <row r="77" spans="1:9" x14ac:dyDescent="0.25">
      <c r="A77" s="1361"/>
      <c r="B77" s="1364"/>
      <c r="C77" s="141" t="s">
        <v>28</v>
      </c>
      <c r="D77" s="450" t="str">
        <f>IF(E77='Parametre - Agendové IS'!N110,"OK","Chyba počtu FTE")</f>
        <v>OK</v>
      </c>
      <c r="E77" s="451">
        <f t="shared" si="4"/>
        <v>1.3526908542933813</v>
      </c>
      <c r="F77" s="897">
        <f>'Parametre - Agendové IS'!N9*'Parametre - Agendové IS'!N49/12/21/7.5</f>
        <v>1.3526908542933813</v>
      </c>
      <c r="G77" s="897">
        <v>0</v>
      </c>
      <c r="H77" s="897">
        <v>0</v>
      </c>
      <c r="I77" s="897">
        <v>0</v>
      </c>
    </row>
    <row r="78" spans="1:9" x14ac:dyDescent="0.25">
      <c r="A78" s="1361"/>
      <c r="B78" s="1364"/>
      <c r="C78" s="141" t="s">
        <v>29</v>
      </c>
      <c r="D78" s="450" t="str">
        <f>IF(E78='Parametre - Agendové IS'!N111,"OK","Chyba počtu FTE")</f>
        <v>OK</v>
      </c>
      <c r="E78" s="451">
        <f t="shared" si="4"/>
        <v>1.3526908542933813</v>
      </c>
      <c r="F78" s="897">
        <f>'Parametre - Agendové IS'!N10*'Parametre - Agendové IS'!N50/12/21/7.5</f>
        <v>1.3526908542933813</v>
      </c>
      <c r="G78" s="897">
        <v>0</v>
      </c>
      <c r="H78" s="897">
        <v>0</v>
      </c>
      <c r="I78" s="897">
        <v>0</v>
      </c>
    </row>
    <row r="79" spans="1:9" x14ac:dyDescent="0.25">
      <c r="A79" s="1361"/>
      <c r="B79" s="1364"/>
      <c r="C79" s="141" t="s">
        <v>30</v>
      </c>
      <c r="D79" s="450" t="str">
        <f>IF(E79='Parametre - Agendové IS'!N112,"OK","Chyba počtu FTE")</f>
        <v>OK</v>
      </c>
      <c r="E79" s="451">
        <f t="shared" si="4"/>
        <v>1.3526908542933813</v>
      </c>
      <c r="F79" s="897">
        <f>'Parametre - Agendové IS'!N11*'Parametre - Agendové IS'!N51/12/21/7.5</f>
        <v>1.3526908542933813</v>
      </c>
      <c r="G79" s="897">
        <v>0</v>
      </c>
      <c r="H79" s="897">
        <v>0</v>
      </c>
      <c r="I79" s="897">
        <v>0</v>
      </c>
    </row>
    <row r="80" spans="1:9" x14ac:dyDescent="0.25">
      <c r="A80" s="1361"/>
      <c r="B80" s="1364"/>
      <c r="C80" s="141" t="s">
        <v>31</v>
      </c>
      <c r="D80" s="450" t="str">
        <f>IF(E80='Parametre - Agendové IS'!N113,"OK","Chyba počtu FTE")</f>
        <v>OK</v>
      </c>
      <c r="E80" s="451">
        <f t="shared" si="4"/>
        <v>1.3526908542933813</v>
      </c>
      <c r="F80" s="897">
        <f>'Parametre - Agendové IS'!N12*'Parametre - Agendové IS'!N52/12/21/7.5</f>
        <v>1.3526908542933813</v>
      </c>
      <c r="G80" s="897">
        <v>0</v>
      </c>
      <c r="H80" s="897">
        <v>0</v>
      </c>
      <c r="I80" s="897">
        <v>0</v>
      </c>
    </row>
    <row r="81" spans="1:9" x14ac:dyDescent="0.25">
      <c r="A81" s="1361"/>
      <c r="B81" s="1364"/>
      <c r="C81" s="141" t="s">
        <v>32</v>
      </c>
      <c r="D81" s="450" t="str">
        <f>IF(E81='Parametre - Agendové IS'!N114,"OK","Chyba počtu FTE")</f>
        <v>OK</v>
      </c>
      <c r="E81" s="451">
        <f t="shared" si="4"/>
        <v>1.3526908542933813</v>
      </c>
      <c r="F81" s="897">
        <f>'Parametre - Agendové IS'!N13*'Parametre - Agendové IS'!N53/12/21/7.5</f>
        <v>1.3526908542933813</v>
      </c>
      <c r="G81" s="897">
        <v>0</v>
      </c>
      <c r="H81" s="897">
        <v>0</v>
      </c>
      <c r="I81" s="897">
        <v>0</v>
      </c>
    </row>
    <row r="82" spans="1:9" x14ac:dyDescent="0.25">
      <c r="A82" s="1361"/>
      <c r="B82" s="1364"/>
      <c r="C82" s="141" t="s">
        <v>33</v>
      </c>
      <c r="D82" s="450" t="str">
        <f>IF(E82='Parametre - Agendové IS'!N115,"OK","Chyba počtu FTE")</f>
        <v>OK</v>
      </c>
      <c r="E82" s="451">
        <f t="shared" si="4"/>
        <v>1.3526908542933813</v>
      </c>
      <c r="F82" s="897">
        <f>'Parametre - Agendové IS'!N14*'Parametre - Agendové IS'!N54/12/21/7.5</f>
        <v>1.3526908542933813</v>
      </c>
      <c r="G82" s="897">
        <v>0</v>
      </c>
      <c r="H82" s="897">
        <v>0</v>
      </c>
      <c r="I82" s="897">
        <v>0</v>
      </c>
    </row>
    <row r="83" spans="1:9" ht="15.75" thickBot="1" x14ac:dyDescent="0.3">
      <c r="A83" s="1361"/>
      <c r="B83" s="1364"/>
      <c r="C83" s="141" t="s">
        <v>34</v>
      </c>
      <c r="D83" s="452" t="str">
        <f>IF(E83='Parametre - Agendové IS'!N116,"OK","Chyba počtu FTE")</f>
        <v>OK</v>
      </c>
      <c r="E83" s="453">
        <f t="shared" si="4"/>
        <v>1.3526908542933813</v>
      </c>
      <c r="F83" s="898">
        <f>'Parametre - Agendové IS'!N15*'Parametre - Agendové IS'!N55/12/21/7.5</f>
        <v>1.3526908542933813</v>
      </c>
      <c r="G83" s="898">
        <v>0</v>
      </c>
      <c r="H83" s="898">
        <v>0</v>
      </c>
      <c r="I83" s="898">
        <v>0</v>
      </c>
    </row>
    <row r="84" spans="1:9" x14ac:dyDescent="0.25">
      <c r="A84" s="1360" t="s">
        <v>41</v>
      </c>
      <c r="B84" s="1363" t="s">
        <v>37</v>
      </c>
      <c r="C84" s="144" t="s">
        <v>25</v>
      </c>
      <c r="D84" s="449" t="str">
        <f>IF(E84='Parametre - Agendové IS'!N6,"OK","Chyba počtu podaní")</f>
        <v>OK</v>
      </c>
      <c r="E84" s="454">
        <f t="shared" si="4"/>
        <v>2800</v>
      </c>
      <c r="F84" s="899">
        <f>F14</f>
        <v>2800</v>
      </c>
      <c r="G84" s="899">
        <v>0</v>
      </c>
      <c r="H84" s="899">
        <v>0</v>
      </c>
      <c r="I84" s="899">
        <v>0</v>
      </c>
    </row>
    <row r="85" spans="1:9" x14ac:dyDescent="0.25">
      <c r="A85" s="1361"/>
      <c r="B85" s="1364"/>
      <c r="C85" s="141" t="s">
        <v>26</v>
      </c>
      <c r="D85" s="450" t="str">
        <f>IF(E85='Parametre - Agendové IS'!N7,"OK","Chyba počtu podaní")</f>
        <v>OK</v>
      </c>
      <c r="E85" s="451">
        <f t="shared" si="4"/>
        <v>2800</v>
      </c>
      <c r="F85" s="900">
        <f>F84</f>
        <v>2800</v>
      </c>
      <c r="G85" s="900">
        <v>0</v>
      </c>
      <c r="H85" s="900">
        <v>0</v>
      </c>
      <c r="I85" s="900">
        <v>0</v>
      </c>
    </row>
    <row r="86" spans="1:9" x14ac:dyDescent="0.25">
      <c r="A86" s="1361"/>
      <c r="B86" s="1364"/>
      <c r="C86" s="141" t="s">
        <v>27</v>
      </c>
      <c r="D86" s="450" t="str">
        <f>IF(E86='Parametre - Agendové IS'!N8,"OK","Chyba počtu podaní")</f>
        <v>Chyba počtu podaní</v>
      </c>
      <c r="E86" s="451">
        <f t="shared" si="4"/>
        <v>3536.055295727198</v>
      </c>
      <c r="F86" s="900">
        <f>F16</f>
        <v>3536.055295727198</v>
      </c>
      <c r="G86" s="900">
        <v>0</v>
      </c>
      <c r="H86" s="900">
        <v>0</v>
      </c>
      <c r="I86" s="900">
        <v>0</v>
      </c>
    </row>
    <row r="87" spans="1:9" x14ac:dyDescent="0.25">
      <c r="A87" s="1361"/>
      <c r="B87" s="1364"/>
      <c r="C87" s="141" t="s">
        <v>28</v>
      </c>
      <c r="D87" s="450" t="str">
        <f>IF(E87='Parametre - Agendové IS'!N9,"OK","Chyba počtu podaní")</f>
        <v>OK</v>
      </c>
      <c r="E87" s="451">
        <f t="shared" si="4"/>
        <v>3536.055295727198</v>
      </c>
      <c r="F87" s="900">
        <f t="shared" ref="F87:F93" si="5">F86</f>
        <v>3536.055295727198</v>
      </c>
      <c r="G87" s="900">
        <v>0</v>
      </c>
      <c r="H87" s="900">
        <v>0</v>
      </c>
      <c r="I87" s="900">
        <v>0</v>
      </c>
    </row>
    <row r="88" spans="1:9" x14ac:dyDescent="0.25">
      <c r="A88" s="1361"/>
      <c r="B88" s="1364"/>
      <c r="C88" s="141" t="s">
        <v>29</v>
      </c>
      <c r="D88" s="450" t="str">
        <f>IF(E88='Parametre - Agendové IS'!N10,"OK","Chyba počtu podaní")</f>
        <v>OK</v>
      </c>
      <c r="E88" s="451">
        <f t="shared" si="4"/>
        <v>3536.055295727198</v>
      </c>
      <c r="F88" s="900">
        <f t="shared" si="5"/>
        <v>3536.055295727198</v>
      </c>
      <c r="G88" s="900">
        <v>0</v>
      </c>
      <c r="H88" s="900">
        <v>0</v>
      </c>
      <c r="I88" s="900">
        <v>0</v>
      </c>
    </row>
    <row r="89" spans="1:9" x14ac:dyDescent="0.25">
      <c r="A89" s="1361"/>
      <c r="B89" s="1364"/>
      <c r="C89" s="141" t="s">
        <v>30</v>
      </c>
      <c r="D89" s="450" t="str">
        <f>IF(E89='Parametre - Agendové IS'!N11,"OK","Chyba počtu podaní")</f>
        <v>OK</v>
      </c>
      <c r="E89" s="451">
        <f t="shared" si="4"/>
        <v>3536.055295727198</v>
      </c>
      <c r="F89" s="900">
        <f t="shared" si="5"/>
        <v>3536.055295727198</v>
      </c>
      <c r="G89" s="900">
        <v>0</v>
      </c>
      <c r="H89" s="900">
        <v>0</v>
      </c>
      <c r="I89" s="900">
        <v>0</v>
      </c>
    </row>
    <row r="90" spans="1:9" x14ac:dyDescent="0.25">
      <c r="A90" s="1361"/>
      <c r="B90" s="1364"/>
      <c r="C90" s="141" t="s">
        <v>31</v>
      </c>
      <c r="D90" s="450" t="str">
        <f>IF(E90='Parametre - Agendové IS'!N12,"OK","Chyba počtu podaní")</f>
        <v>OK</v>
      </c>
      <c r="E90" s="451">
        <f t="shared" si="4"/>
        <v>3536.055295727198</v>
      </c>
      <c r="F90" s="900">
        <f t="shared" si="5"/>
        <v>3536.055295727198</v>
      </c>
      <c r="G90" s="900">
        <v>0</v>
      </c>
      <c r="H90" s="900">
        <v>0</v>
      </c>
      <c r="I90" s="900">
        <v>0</v>
      </c>
    </row>
    <row r="91" spans="1:9" x14ac:dyDescent="0.25">
      <c r="A91" s="1361"/>
      <c r="B91" s="1364"/>
      <c r="C91" s="141" t="s">
        <v>32</v>
      </c>
      <c r="D91" s="450" t="str">
        <f>IF(E91='Parametre - Agendové IS'!N13,"OK","Chyba počtu podaní")</f>
        <v>OK</v>
      </c>
      <c r="E91" s="451">
        <f t="shared" si="4"/>
        <v>3536.055295727198</v>
      </c>
      <c r="F91" s="900">
        <f t="shared" si="5"/>
        <v>3536.055295727198</v>
      </c>
      <c r="G91" s="900">
        <v>0</v>
      </c>
      <c r="H91" s="900">
        <v>0</v>
      </c>
      <c r="I91" s="900">
        <v>0</v>
      </c>
    </row>
    <row r="92" spans="1:9" x14ac:dyDescent="0.25">
      <c r="A92" s="1361"/>
      <c r="B92" s="1364"/>
      <c r="C92" s="141" t="s">
        <v>33</v>
      </c>
      <c r="D92" s="450" t="str">
        <f>IF(E92='Parametre - Agendové IS'!N14,"OK","Chyba počtu podaní")</f>
        <v>OK</v>
      </c>
      <c r="E92" s="451">
        <f t="shared" si="4"/>
        <v>3536.055295727198</v>
      </c>
      <c r="F92" s="900">
        <f t="shared" si="5"/>
        <v>3536.055295727198</v>
      </c>
      <c r="G92" s="900">
        <v>0</v>
      </c>
      <c r="H92" s="900">
        <v>0</v>
      </c>
      <c r="I92" s="900">
        <v>0</v>
      </c>
    </row>
    <row r="93" spans="1:9" ht="15.75" thickBot="1" x14ac:dyDescent="0.3">
      <c r="A93" s="1362"/>
      <c r="B93" s="1365"/>
      <c r="C93" s="142" t="s">
        <v>34</v>
      </c>
      <c r="D93" s="450" t="str">
        <f>IF(E93='Parametre - Agendové IS'!N15,"OK","Chyba počtu podaní")</f>
        <v>OK</v>
      </c>
      <c r="E93" s="451">
        <f t="shared" si="4"/>
        <v>3536.055295727198</v>
      </c>
      <c r="F93" s="900">
        <f t="shared" si="5"/>
        <v>3536.055295727198</v>
      </c>
      <c r="G93" s="900">
        <v>0</v>
      </c>
      <c r="H93" s="900">
        <v>0</v>
      </c>
      <c r="I93" s="900">
        <v>0</v>
      </c>
    </row>
    <row r="94" spans="1:9" x14ac:dyDescent="0.25">
      <c r="A94" s="1360" t="s">
        <v>39</v>
      </c>
      <c r="B94" s="1363" t="s">
        <v>13</v>
      </c>
      <c r="C94" s="144" t="s">
        <v>25</v>
      </c>
      <c r="D94" s="449" t="str">
        <f>IF(E94='Parametre - Agendové IS'!N157,"OK","Chyba")</f>
        <v>OK</v>
      </c>
      <c r="E94" s="454">
        <f t="shared" si="4"/>
        <v>27356.074685838896</v>
      </c>
      <c r="F94" s="504">
        <f>'Parametre - Agendové IS'!$N76</f>
        <v>27356.074685838896</v>
      </c>
      <c r="G94" s="504">
        <v>0</v>
      </c>
      <c r="H94" s="504">
        <v>0</v>
      </c>
      <c r="I94" s="504">
        <v>0</v>
      </c>
    </row>
    <row r="95" spans="1:9" x14ac:dyDescent="0.25">
      <c r="A95" s="1361"/>
      <c r="B95" s="1364"/>
      <c r="C95" s="141" t="s">
        <v>26</v>
      </c>
      <c r="D95" s="450" t="str">
        <f>IF(E95='Parametre - Agendové IS'!N158,"OK","Chyba")</f>
        <v>OK</v>
      </c>
      <c r="E95" s="451">
        <f t="shared" si="4"/>
        <v>27356.074685838896</v>
      </c>
      <c r="F95" s="505">
        <f>'Parametre - Agendové IS'!$N77</f>
        <v>27356.074685838896</v>
      </c>
      <c r="G95" s="505">
        <v>0</v>
      </c>
      <c r="H95" s="505">
        <v>0</v>
      </c>
      <c r="I95" s="505">
        <v>0</v>
      </c>
    </row>
    <row r="96" spans="1:9" x14ac:dyDescent="0.25">
      <c r="A96" s="1361"/>
      <c r="B96" s="1364"/>
      <c r="C96" s="141" t="s">
        <v>27</v>
      </c>
      <c r="D96" s="450" t="str">
        <f>IF(E96='Parametre - Agendové IS'!N159,"OK","Chyba")</f>
        <v>OK</v>
      </c>
      <c r="E96" s="451">
        <f t="shared" si="4"/>
        <v>27356.074685838896</v>
      </c>
      <c r="F96" s="505">
        <f>'Parametre - Agendové IS'!$N78</f>
        <v>27356.074685838896</v>
      </c>
      <c r="G96" s="505">
        <v>0</v>
      </c>
      <c r="H96" s="505">
        <v>0</v>
      </c>
      <c r="I96" s="505">
        <v>0</v>
      </c>
    </row>
    <row r="97" spans="1:9" x14ac:dyDescent="0.25">
      <c r="A97" s="1361"/>
      <c r="B97" s="1364"/>
      <c r="C97" s="141" t="s">
        <v>28</v>
      </c>
      <c r="D97" s="450" t="str">
        <f>IF(E97='Parametre - Agendové IS'!N160,"OK","Chyba")</f>
        <v>OK</v>
      </c>
      <c r="E97" s="451">
        <f t="shared" si="4"/>
        <v>39725.910785695844</v>
      </c>
      <c r="F97" s="505">
        <f>'Parametre - Agendové IS'!$N79</f>
        <v>39725.910785695844</v>
      </c>
      <c r="G97" s="505">
        <v>0</v>
      </c>
      <c r="H97" s="505">
        <v>0</v>
      </c>
      <c r="I97" s="505">
        <v>0</v>
      </c>
    </row>
    <row r="98" spans="1:9" x14ac:dyDescent="0.25">
      <c r="A98" s="1361"/>
      <c r="B98" s="1364"/>
      <c r="C98" s="141" t="s">
        <v>29</v>
      </c>
      <c r="D98" s="450" t="str">
        <f>IF(E98='Parametre - Agendové IS'!N161,"OK","Chyba")</f>
        <v>OK</v>
      </c>
      <c r="E98" s="451">
        <f t="shared" si="4"/>
        <v>39725.910785695844</v>
      </c>
      <c r="F98" s="505">
        <f>'Parametre - Agendové IS'!$N80</f>
        <v>39725.910785695844</v>
      </c>
      <c r="G98" s="505">
        <v>0</v>
      </c>
      <c r="H98" s="505">
        <v>0</v>
      </c>
      <c r="I98" s="505">
        <v>0</v>
      </c>
    </row>
    <row r="99" spans="1:9" x14ac:dyDescent="0.25">
      <c r="A99" s="1361"/>
      <c r="B99" s="1364"/>
      <c r="C99" s="141" t="s">
        <v>30</v>
      </c>
      <c r="D99" s="450" t="str">
        <f>IF(E99='Parametre - Agendové IS'!N162,"OK","Chyba")</f>
        <v>OK</v>
      </c>
      <c r="E99" s="451">
        <f t="shared" si="4"/>
        <v>39725.910785695844</v>
      </c>
      <c r="F99" s="505">
        <f>'Parametre - Agendové IS'!$N81</f>
        <v>39725.910785695844</v>
      </c>
      <c r="G99" s="505">
        <v>0</v>
      </c>
      <c r="H99" s="505">
        <v>0</v>
      </c>
      <c r="I99" s="505">
        <v>0</v>
      </c>
    </row>
    <row r="100" spans="1:9" x14ac:dyDescent="0.25">
      <c r="A100" s="1361"/>
      <c r="B100" s="1364"/>
      <c r="C100" s="141" t="s">
        <v>31</v>
      </c>
      <c r="D100" s="450" t="str">
        <f>IF(E100='Parametre - Agendové IS'!N163,"OK","Chyba")</f>
        <v>OK</v>
      </c>
      <c r="E100" s="451">
        <f t="shared" si="4"/>
        <v>39725.910785695844</v>
      </c>
      <c r="F100" s="505">
        <f>'Parametre - Agendové IS'!$N82</f>
        <v>39725.910785695844</v>
      </c>
      <c r="G100" s="505">
        <v>0</v>
      </c>
      <c r="H100" s="505">
        <v>0</v>
      </c>
      <c r="I100" s="505">
        <v>0</v>
      </c>
    </row>
    <row r="101" spans="1:9" x14ac:dyDescent="0.25">
      <c r="A101" s="1361"/>
      <c r="B101" s="1364"/>
      <c r="C101" s="141" t="s">
        <v>32</v>
      </c>
      <c r="D101" s="450" t="str">
        <f>IF(E101='Parametre - Agendové IS'!N164,"OK","Chyba")</f>
        <v>OK</v>
      </c>
      <c r="E101" s="451">
        <f t="shared" si="4"/>
        <v>39725.910785695844</v>
      </c>
      <c r="F101" s="505">
        <f>'Parametre - Agendové IS'!$N83</f>
        <v>39725.910785695844</v>
      </c>
      <c r="G101" s="505">
        <v>0</v>
      </c>
      <c r="H101" s="505">
        <v>0</v>
      </c>
      <c r="I101" s="505">
        <v>0</v>
      </c>
    </row>
    <row r="102" spans="1:9" x14ac:dyDescent="0.25">
      <c r="A102" s="1361"/>
      <c r="B102" s="1364"/>
      <c r="C102" s="141" t="s">
        <v>33</v>
      </c>
      <c r="D102" s="450" t="str">
        <f>IF(E102='Parametre - Agendové IS'!N165,"OK","Chyba")</f>
        <v>OK</v>
      </c>
      <c r="E102" s="451">
        <f t="shared" si="4"/>
        <v>39725.910785695844</v>
      </c>
      <c r="F102" s="505">
        <f>'Parametre - Agendové IS'!$N84</f>
        <v>39725.910785695844</v>
      </c>
      <c r="G102" s="505">
        <v>0</v>
      </c>
      <c r="H102" s="505">
        <v>0</v>
      </c>
      <c r="I102" s="505">
        <v>0</v>
      </c>
    </row>
    <row r="103" spans="1:9" ht="15.75" thickBot="1" x14ac:dyDescent="0.3">
      <c r="A103" s="1362"/>
      <c r="B103" s="1365"/>
      <c r="C103" s="142" t="s">
        <v>34</v>
      </c>
      <c r="D103" s="450" t="str">
        <f>IF(E103='Parametre - Agendové IS'!N166,"OK","Chyba")</f>
        <v>OK</v>
      </c>
      <c r="E103" s="451">
        <f t="shared" si="4"/>
        <v>39725.910785695844</v>
      </c>
      <c r="F103" s="505">
        <f>'Parametre - Agendové IS'!$N85</f>
        <v>39725.910785695844</v>
      </c>
      <c r="G103" s="505">
        <v>0</v>
      </c>
      <c r="H103" s="505">
        <v>0</v>
      </c>
      <c r="I103" s="505">
        <v>0</v>
      </c>
    </row>
    <row r="106" spans="1:9" ht="15.75" thickBot="1" x14ac:dyDescent="0.3"/>
    <row r="107" spans="1:9" x14ac:dyDescent="0.25">
      <c r="A107" s="1366" t="str">
        <f>'Parametre - Agendové IS'!P1</f>
        <v>Mobilná aplikácia Podnety</v>
      </c>
      <c r="B107" s="1367"/>
      <c r="C107" s="1368"/>
      <c r="D107" s="1372" t="s">
        <v>103</v>
      </c>
      <c r="E107" s="1373"/>
      <c r="F107" s="262" t="str">
        <f>$F$2</f>
        <v>SIŽP</v>
      </c>
      <c r="G107" s="262" t="s">
        <v>154</v>
      </c>
      <c r="H107" s="262" t="s">
        <v>155</v>
      </c>
      <c r="I107" s="262" t="s">
        <v>157</v>
      </c>
    </row>
    <row r="108" spans="1:9" ht="15.75" thickBot="1" x14ac:dyDescent="0.3">
      <c r="A108" s="1369"/>
      <c r="B108" s="1370"/>
      <c r="C108" s="1371"/>
      <c r="D108" s="446" t="s">
        <v>298</v>
      </c>
      <c r="E108" s="447" t="s">
        <v>156</v>
      </c>
      <c r="F108" s="143" t="s">
        <v>156</v>
      </c>
      <c r="G108" s="143" t="s">
        <v>156</v>
      </c>
      <c r="H108" s="143" t="s">
        <v>156</v>
      </c>
      <c r="I108" s="143" t="s">
        <v>156</v>
      </c>
    </row>
    <row r="109" spans="1:9" x14ac:dyDescent="0.25">
      <c r="A109" s="1360" t="s">
        <v>43</v>
      </c>
      <c r="B109" s="1363" t="s">
        <v>174</v>
      </c>
      <c r="C109" s="144" t="s">
        <v>25</v>
      </c>
      <c r="D109" s="448" t="str">
        <f>IF(E109='Parametre - Agendové IS'!Q107,"OK","Chyba počtu FTE")</f>
        <v>Chyba počtu FTE</v>
      </c>
      <c r="E109" s="449">
        <f t="shared" ref="E109:E138" si="6">F109+G109+H109+I109</f>
        <v>0</v>
      </c>
      <c r="F109" s="206"/>
      <c r="G109" s="206"/>
      <c r="H109" s="206"/>
      <c r="I109" s="206"/>
    </row>
    <row r="110" spans="1:9" x14ac:dyDescent="0.25">
      <c r="A110" s="1361"/>
      <c r="B110" s="1364"/>
      <c r="C110" s="141" t="s">
        <v>26</v>
      </c>
      <c r="D110" s="450" t="str">
        <f>IF(E110='Parametre - Agendové IS'!Q108,"OK","Chyba počtu FTE")</f>
        <v>Chyba počtu FTE</v>
      </c>
      <c r="E110" s="451">
        <f t="shared" si="6"/>
        <v>0</v>
      </c>
      <c r="F110" s="207"/>
      <c r="G110" s="207"/>
      <c r="H110" s="207"/>
      <c r="I110" s="207"/>
    </row>
    <row r="111" spans="1:9" x14ac:dyDescent="0.25">
      <c r="A111" s="1361"/>
      <c r="B111" s="1364"/>
      <c r="C111" s="141" t="s">
        <v>27</v>
      </c>
      <c r="D111" s="450" t="str">
        <f>IF(E111='Parametre - Agendové IS'!Q109,"OK","Chyba počtu FTE")</f>
        <v>Chyba počtu FTE</v>
      </c>
      <c r="E111" s="451">
        <f t="shared" si="6"/>
        <v>0</v>
      </c>
      <c r="F111" s="207"/>
      <c r="G111" s="207"/>
      <c r="H111" s="207"/>
      <c r="I111" s="207"/>
    </row>
    <row r="112" spans="1:9" x14ac:dyDescent="0.25">
      <c r="A112" s="1361"/>
      <c r="B112" s="1364"/>
      <c r="C112" s="141" t="s">
        <v>28</v>
      </c>
      <c r="D112" s="450" t="str">
        <f>IF(E112='Parametre - Agendové IS'!Q110,"OK","Chyba počtu FTE")</f>
        <v>Chyba počtu FTE</v>
      </c>
      <c r="E112" s="451">
        <f t="shared" si="6"/>
        <v>0</v>
      </c>
      <c r="F112" s="207"/>
      <c r="G112" s="207"/>
      <c r="H112" s="207"/>
      <c r="I112" s="207"/>
    </row>
    <row r="113" spans="1:9" x14ac:dyDescent="0.25">
      <c r="A113" s="1361"/>
      <c r="B113" s="1364"/>
      <c r="C113" s="141" t="s">
        <v>29</v>
      </c>
      <c r="D113" s="450" t="str">
        <f>IF(E113='Parametre - Agendové IS'!Q111,"OK","Chyba počtu FTE")</f>
        <v>Chyba počtu FTE</v>
      </c>
      <c r="E113" s="451">
        <f t="shared" si="6"/>
        <v>0</v>
      </c>
      <c r="F113" s="207"/>
      <c r="G113" s="207"/>
      <c r="H113" s="207"/>
      <c r="I113" s="207"/>
    </row>
    <row r="114" spans="1:9" x14ac:dyDescent="0.25">
      <c r="A114" s="1361"/>
      <c r="B114" s="1364"/>
      <c r="C114" s="141" t="s">
        <v>30</v>
      </c>
      <c r="D114" s="450" t="str">
        <f>IF(E114='Parametre - Agendové IS'!Q112,"OK","Chyba počtu FTE")</f>
        <v>Chyba počtu FTE</v>
      </c>
      <c r="E114" s="451">
        <f t="shared" si="6"/>
        <v>0</v>
      </c>
      <c r="F114" s="207"/>
      <c r="G114" s="207"/>
      <c r="H114" s="207"/>
      <c r="I114" s="207"/>
    </row>
    <row r="115" spans="1:9" x14ac:dyDescent="0.25">
      <c r="A115" s="1361"/>
      <c r="B115" s="1364"/>
      <c r="C115" s="141" t="s">
        <v>31</v>
      </c>
      <c r="D115" s="450" t="str">
        <f>IF(E115='Parametre - Agendové IS'!Q113,"OK","Chyba počtu FTE")</f>
        <v>Chyba počtu FTE</v>
      </c>
      <c r="E115" s="451">
        <f t="shared" si="6"/>
        <v>0</v>
      </c>
      <c r="F115" s="207"/>
      <c r="G115" s="207"/>
      <c r="H115" s="207"/>
      <c r="I115" s="207"/>
    </row>
    <row r="116" spans="1:9" x14ac:dyDescent="0.25">
      <c r="A116" s="1361"/>
      <c r="B116" s="1364"/>
      <c r="C116" s="141" t="s">
        <v>32</v>
      </c>
      <c r="D116" s="450" t="str">
        <f>IF(E116='Parametre - Agendové IS'!Q114,"OK","Chyba počtu FTE")</f>
        <v>Chyba počtu FTE</v>
      </c>
      <c r="E116" s="451">
        <f t="shared" si="6"/>
        <v>0</v>
      </c>
      <c r="F116" s="207"/>
      <c r="G116" s="207"/>
      <c r="H116" s="207"/>
      <c r="I116" s="207"/>
    </row>
    <row r="117" spans="1:9" x14ac:dyDescent="0.25">
      <c r="A117" s="1361"/>
      <c r="B117" s="1364"/>
      <c r="C117" s="141" t="s">
        <v>33</v>
      </c>
      <c r="D117" s="450" t="str">
        <f>IF(E117='Parametre - Agendové IS'!Q115,"OK","Chyba počtu FTE")</f>
        <v>Chyba počtu FTE</v>
      </c>
      <c r="E117" s="451">
        <f t="shared" si="6"/>
        <v>0</v>
      </c>
      <c r="F117" s="207"/>
      <c r="G117" s="207"/>
      <c r="H117" s="207"/>
      <c r="I117" s="207"/>
    </row>
    <row r="118" spans="1:9" ht="15.75" thickBot="1" x14ac:dyDescent="0.3">
      <c r="A118" s="1361"/>
      <c r="B118" s="1364"/>
      <c r="C118" s="141" t="s">
        <v>34</v>
      </c>
      <c r="D118" s="452" t="str">
        <f>IF(E118='Parametre - Agendové IS'!Q116,"OK","Chyba počtu FTE")</f>
        <v>Chyba počtu FTE</v>
      </c>
      <c r="E118" s="453">
        <f t="shared" si="6"/>
        <v>0</v>
      </c>
      <c r="F118" s="208"/>
      <c r="G118" s="208"/>
      <c r="H118" s="208"/>
      <c r="I118" s="208"/>
    </row>
    <row r="119" spans="1:9" x14ac:dyDescent="0.25">
      <c r="A119" s="1360" t="s">
        <v>41</v>
      </c>
      <c r="B119" s="1363" t="s">
        <v>37</v>
      </c>
      <c r="C119" s="144" t="s">
        <v>25</v>
      </c>
      <c r="D119" s="449" t="str">
        <f>IF(E119='Parametre - Agendové IS'!Q6,"OK","Chyba počtu podaní")</f>
        <v>Chyba počtu podaní</v>
      </c>
      <c r="E119" s="454">
        <f t="shared" si="6"/>
        <v>0</v>
      </c>
      <c r="F119" s="206"/>
      <c r="G119" s="206"/>
      <c r="H119" s="206"/>
      <c r="I119" s="206"/>
    </row>
    <row r="120" spans="1:9" x14ac:dyDescent="0.25">
      <c r="A120" s="1361"/>
      <c r="B120" s="1364"/>
      <c r="C120" s="141" t="s">
        <v>26</v>
      </c>
      <c r="D120" s="450" t="str">
        <f>IF(E120='Parametre - Agendové IS'!Q7,"OK","Chyba počtu podaní")</f>
        <v>Chyba počtu podaní</v>
      </c>
      <c r="E120" s="451">
        <f t="shared" si="6"/>
        <v>0</v>
      </c>
      <c r="F120" s="207"/>
      <c r="G120" s="207"/>
      <c r="H120" s="207"/>
      <c r="I120" s="207"/>
    </row>
    <row r="121" spans="1:9" x14ac:dyDescent="0.25">
      <c r="A121" s="1361"/>
      <c r="B121" s="1364"/>
      <c r="C121" s="141" t="s">
        <v>27</v>
      </c>
      <c r="D121" s="450" t="str">
        <f>IF(E121='Parametre - Agendové IS'!Q8,"OK","Chyba počtu podaní")</f>
        <v>Chyba počtu podaní</v>
      </c>
      <c r="E121" s="451">
        <f t="shared" si="6"/>
        <v>0</v>
      </c>
      <c r="F121" s="207"/>
      <c r="G121" s="207"/>
      <c r="H121" s="207"/>
      <c r="I121" s="207"/>
    </row>
    <row r="122" spans="1:9" x14ac:dyDescent="0.25">
      <c r="A122" s="1361"/>
      <c r="B122" s="1364"/>
      <c r="C122" s="141" t="s">
        <v>28</v>
      </c>
      <c r="D122" s="450" t="str">
        <f>IF(E122='Parametre - Agendové IS'!Q9,"OK","Chyba počtu podaní")</f>
        <v>Chyba počtu podaní</v>
      </c>
      <c r="E122" s="451">
        <f t="shared" si="6"/>
        <v>0</v>
      </c>
      <c r="F122" s="207"/>
      <c r="G122" s="207"/>
      <c r="H122" s="207"/>
      <c r="I122" s="207"/>
    </row>
    <row r="123" spans="1:9" x14ac:dyDescent="0.25">
      <c r="A123" s="1361"/>
      <c r="B123" s="1364"/>
      <c r="C123" s="141" t="s">
        <v>29</v>
      </c>
      <c r="D123" s="450" t="str">
        <f>IF(E123='Parametre - Agendové IS'!Q10,"OK","Chyba počtu podaní")</f>
        <v>Chyba počtu podaní</v>
      </c>
      <c r="E123" s="451">
        <f t="shared" si="6"/>
        <v>0</v>
      </c>
      <c r="F123" s="207"/>
      <c r="G123" s="207"/>
      <c r="H123" s="207"/>
      <c r="I123" s="207"/>
    </row>
    <row r="124" spans="1:9" x14ac:dyDescent="0.25">
      <c r="A124" s="1361"/>
      <c r="B124" s="1364"/>
      <c r="C124" s="141" t="s">
        <v>30</v>
      </c>
      <c r="D124" s="450" t="str">
        <f>IF(E124='Parametre - Agendové IS'!Q11,"OK","Chyba počtu podaní")</f>
        <v>Chyba počtu podaní</v>
      </c>
      <c r="E124" s="451">
        <f t="shared" si="6"/>
        <v>0</v>
      </c>
      <c r="F124" s="207"/>
      <c r="G124" s="207"/>
      <c r="H124" s="207"/>
      <c r="I124" s="207"/>
    </row>
    <row r="125" spans="1:9" x14ac:dyDescent="0.25">
      <c r="A125" s="1361"/>
      <c r="B125" s="1364"/>
      <c r="C125" s="141" t="s">
        <v>31</v>
      </c>
      <c r="D125" s="450" t="str">
        <f>IF(E125='Parametre - Agendové IS'!Q12,"OK","Chyba počtu podaní")</f>
        <v>Chyba počtu podaní</v>
      </c>
      <c r="E125" s="451">
        <f t="shared" si="6"/>
        <v>0</v>
      </c>
      <c r="F125" s="207"/>
      <c r="G125" s="207"/>
      <c r="H125" s="207"/>
      <c r="I125" s="207"/>
    </row>
    <row r="126" spans="1:9" x14ac:dyDescent="0.25">
      <c r="A126" s="1361"/>
      <c r="B126" s="1364"/>
      <c r="C126" s="141" t="s">
        <v>32</v>
      </c>
      <c r="D126" s="450" t="str">
        <f>IF(E126='Parametre - Agendové IS'!Q13,"OK","Chyba počtu podaní")</f>
        <v>Chyba počtu podaní</v>
      </c>
      <c r="E126" s="451">
        <f t="shared" si="6"/>
        <v>0</v>
      </c>
      <c r="F126" s="207"/>
      <c r="G126" s="207"/>
      <c r="H126" s="207"/>
      <c r="I126" s="207"/>
    </row>
    <row r="127" spans="1:9" x14ac:dyDescent="0.25">
      <c r="A127" s="1361"/>
      <c r="B127" s="1364"/>
      <c r="C127" s="141" t="s">
        <v>33</v>
      </c>
      <c r="D127" s="450" t="str">
        <f>IF(E127='Parametre - Agendové IS'!Q14,"OK","Chyba počtu podaní")</f>
        <v>Chyba počtu podaní</v>
      </c>
      <c r="E127" s="451">
        <f t="shared" si="6"/>
        <v>0</v>
      </c>
      <c r="F127" s="207"/>
      <c r="G127" s="207"/>
      <c r="H127" s="207"/>
      <c r="I127" s="207"/>
    </row>
    <row r="128" spans="1:9" ht="15.75" thickBot="1" x14ac:dyDescent="0.3">
      <c r="A128" s="1362"/>
      <c r="B128" s="1365"/>
      <c r="C128" s="142" t="s">
        <v>34</v>
      </c>
      <c r="D128" s="450" t="str">
        <f>IF(E128='Parametre - Agendové IS'!Q15,"OK","Chyba počtu podaní")</f>
        <v>Chyba počtu podaní</v>
      </c>
      <c r="E128" s="451">
        <f t="shared" si="6"/>
        <v>0</v>
      </c>
      <c r="F128" s="207"/>
      <c r="G128" s="207"/>
      <c r="H128" s="207"/>
      <c r="I128" s="207"/>
    </row>
    <row r="129" spans="1:9" x14ac:dyDescent="0.25">
      <c r="A129" s="1360" t="s">
        <v>39</v>
      </c>
      <c r="B129" s="1363" t="s">
        <v>13</v>
      </c>
      <c r="C129" s="144" t="s">
        <v>25</v>
      </c>
      <c r="D129" s="449" t="str">
        <f>IF(E129='Parametre - Agendové IS'!Q157,"OK","Chyba")</f>
        <v>OK</v>
      </c>
      <c r="E129" s="454">
        <f t="shared" si="6"/>
        <v>3085.8986688293876</v>
      </c>
      <c r="F129" s="504">
        <f>'Parametre - Agendové IS'!$Q76</f>
        <v>3085.8986688293876</v>
      </c>
      <c r="G129" s="206"/>
      <c r="H129" s="206"/>
      <c r="I129" s="206"/>
    </row>
    <row r="130" spans="1:9" x14ac:dyDescent="0.25">
      <c r="A130" s="1361"/>
      <c r="B130" s="1364"/>
      <c r="C130" s="141" t="s">
        <v>26</v>
      </c>
      <c r="D130" s="450" t="str">
        <f>IF(E130='Parametre - Agendové IS'!Q158,"OK","Chyba")</f>
        <v>OK</v>
      </c>
      <c r="E130" s="451">
        <f t="shared" si="6"/>
        <v>3085.8986688293876</v>
      </c>
      <c r="F130" s="505">
        <f>'Parametre - Agendové IS'!$Q77</f>
        <v>3085.8986688293876</v>
      </c>
      <c r="G130" s="207"/>
      <c r="H130" s="207"/>
      <c r="I130" s="207"/>
    </row>
    <row r="131" spans="1:9" x14ac:dyDescent="0.25">
      <c r="A131" s="1361"/>
      <c r="B131" s="1364"/>
      <c r="C131" s="141" t="s">
        <v>27</v>
      </c>
      <c r="D131" s="450" t="str">
        <f>IF(E131='Parametre - Agendové IS'!Q159,"OK","Chyba")</f>
        <v>OK</v>
      </c>
      <c r="E131" s="451">
        <f t="shared" si="6"/>
        <v>3085.8986688293876</v>
      </c>
      <c r="F131" s="505">
        <f>'Parametre - Agendové IS'!$Q78</f>
        <v>3085.8986688293876</v>
      </c>
      <c r="G131" s="207"/>
      <c r="H131" s="207"/>
      <c r="I131" s="207"/>
    </row>
    <row r="132" spans="1:9" x14ac:dyDescent="0.25">
      <c r="A132" s="1361"/>
      <c r="B132" s="1364"/>
      <c r="C132" s="141" t="s">
        <v>28</v>
      </c>
      <c r="D132" s="450" t="str">
        <f>IF(E132='Parametre - Agendové IS'!Q160,"OK","Chyba")</f>
        <v>OK</v>
      </c>
      <c r="E132" s="451">
        <f t="shared" si="6"/>
        <v>4481.2765215571535</v>
      </c>
      <c r="F132" s="505">
        <f>'Parametre - Agendové IS'!$Q79</f>
        <v>4481.2765215571535</v>
      </c>
      <c r="G132" s="207"/>
      <c r="H132" s="207"/>
      <c r="I132" s="207"/>
    </row>
    <row r="133" spans="1:9" x14ac:dyDescent="0.25">
      <c r="A133" s="1361"/>
      <c r="B133" s="1364"/>
      <c r="C133" s="141" t="s">
        <v>29</v>
      </c>
      <c r="D133" s="450" t="str">
        <f>IF(E133='Parametre - Agendové IS'!Q161,"OK","Chyba")</f>
        <v>OK</v>
      </c>
      <c r="E133" s="451">
        <f t="shared" si="6"/>
        <v>4481.2765215571535</v>
      </c>
      <c r="F133" s="505">
        <f>'Parametre - Agendové IS'!$Q80</f>
        <v>4481.2765215571535</v>
      </c>
      <c r="G133" s="207"/>
      <c r="H133" s="207"/>
      <c r="I133" s="207"/>
    </row>
    <row r="134" spans="1:9" x14ac:dyDescent="0.25">
      <c r="A134" s="1361"/>
      <c r="B134" s="1364"/>
      <c r="C134" s="141" t="s">
        <v>30</v>
      </c>
      <c r="D134" s="450" t="str">
        <f>IF(E134='Parametre - Agendové IS'!Q162,"OK","Chyba")</f>
        <v>OK</v>
      </c>
      <c r="E134" s="451">
        <f t="shared" si="6"/>
        <v>4481.2765215571535</v>
      </c>
      <c r="F134" s="505">
        <f>'Parametre - Agendové IS'!$Q81</f>
        <v>4481.2765215571535</v>
      </c>
      <c r="G134" s="207"/>
      <c r="H134" s="207"/>
      <c r="I134" s="207"/>
    </row>
    <row r="135" spans="1:9" x14ac:dyDescent="0.25">
      <c r="A135" s="1361"/>
      <c r="B135" s="1364"/>
      <c r="C135" s="141" t="s">
        <v>31</v>
      </c>
      <c r="D135" s="450" t="str">
        <f>IF(E135='Parametre - Agendové IS'!Q163,"OK","Chyba")</f>
        <v>OK</v>
      </c>
      <c r="E135" s="451">
        <f t="shared" si="6"/>
        <v>4481.2765215571535</v>
      </c>
      <c r="F135" s="505">
        <f>'Parametre - Agendové IS'!$Q82</f>
        <v>4481.2765215571535</v>
      </c>
      <c r="G135" s="207"/>
      <c r="H135" s="207"/>
      <c r="I135" s="207"/>
    </row>
    <row r="136" spans="1:9" x14ac:dyDescent="0.25">
      <c r="A136" s="1361"/>
      <c r="B136" s="1364"/>
      <c r="C136" s="141" t="s">
        <v>32</v>
      </c>
      <c r="D136" s="450" t="str">
        <f>IF(E136='Parametre - Agendové IS'!Q164,"OK","Chyba")</f>
        <v>OK</v>
      </c>
      <c r="E136" s="451">
        <f t="shared" si="6"/>
        <v>4481.2765215571535</v>
      </c>
      <c r="F136" s="505">
        <f>'Parametre - Agendové IS'!$Q83</f>
        <v>4481.2765215571535</v>
      </c>
      <c r="G136" s="207"/>
      <c r="H136" s="207"/>
      <c r="I136" s="207"/>
    </row>
    <row r="137" spans="1:9" x14ac:dyDescent="0.25">
      <c r="A137" s="1361"/>
      <c r="B137" s="1364"/>
      <c r="C137" s="141" t="s">
        <v>33</v>
      </c>
      <c r="D137" s="450" t="str">
        <f>IF(E137='Parametre - Agendové IS'!Q165,"OK","Chyba")</f>
        <v>OK</v>
      </c>
      <c r="E137" s="451">
        <f t="shared" si="6"/>
        <v>4481.2765215571535</v>
      </c>
      <c r="F137" s="505">
        <f>'Parametre - Agendové IS'!$Q84</f>
        <v>4481.2765215571535</v>
      </c>
      <c r="G137" s="207"/>
      <c r="H137" s="207"/>
      <c r="I137" s="207"/>
    </row>
    <row r="138" spans="1:9" ht="15.75" thickBot="1" x14ac:dyDescent="0.3">
      <c r="A138" s="1362"/>
      <c r="B138" s="1365"/>
      <c r="C138" s="142" t="s">
        <v>34</v>
      </c>
      <c r="D138" s="450" t="str">
        <f>IF(E138='Parametre - Agendové IS'!Q166,"OK","Chyba")</f>
        <v>OK</v>
      </c>
      <c r="E138" s="451">
        <f t="shared" si="6"/>
        <v>4481.2765215571535</v>
      </c>
      <c r="F138" s="505">
        <f>'Parametre - Agendové IS'!$Q85</f>
        <v>4481.2765215571535</v>
      </c>
      <c r="G138" s="207"/>
      <c r="H138" s="207"/>
      <c r="I138" s="207"/>
    </row>
  </sheetData>
  <mergeCells count="32">
    <mergeCell ref="A129:A138"/>
    <mergeCell ref="B129:B138"/>
    <mergeCell ref="A24:A33"/>
    <mergeCell ref="B24:B33"/>
    <mergeCell ref="A59:A68"/>
    <mergeCell ref="B59:B68"/>
    <mergeCell ref="A94:A103"/>
    <mergeCell ref="B94:B103"/>
    <mergeCell ref="A37:C38"/>
    <mergeCell ref="A39:A48"/>
    <mergeCell ref="B39:B48"/>
    <mergeCell ref="A49:A58"/>
    <mergeCell ref="B49:B58"/>
    <mergeCell ref="A72:C73"/>
    <mergeCell ref="A74:A83"/>
    <mergeCell ref="B74:B83"/>
    <mergeCell ref="D107:E107"/>
    <mergeCell ref="D72:E72"/>
    <mergeCell ref="D37:E37"/>
    <mergeCell ref="D2:E2"/>
    <mergeCell ref="A2:C3"/>
    <mergeCell ref="B4:B13"/>
    <mergeCell ref="A14:A23"/>
    <mergeCell ref="B14:B23"/>
    <mergeCell ref="A4:A13"/>
    <mergeCell ref="A119:A128"/>
    <mergeCell ref="B119:B128"/>
    <mergeCell ref="A109:A118"/>
    <mergeCell ref="B109:B118"/>
    <mergeCell ref="A84:A93"/>
    <mergeCell ref="B84:B93"/>
    <mergeCell ref="A107:C108"/>
  </mergeCells>
  <pageMargins left="0.7" right="0.7" top="0.75" bottom="0.75" header="0.3" footer="0.3"/>
  <pageSetup paperSize="9" scale="3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CC"/>
  </sheetPr>
  <dimension ref="A1:AQ124"/>
  <sheetViews>
    <sheetView showGridLines="0" zoomScaleNormal="100" zoomScaleSheetLayoutView="90" workbookViewId="0">
      <pane ySplit="5" topLeftCell="A90" activePane="bottomLeft" state="frozen"/>
      <selection activeCell="C47" sqref="C47"/>
      <selection pane="bottomLeft" activeCell="C47" sqref="C47"/>
    </sheetView>
  </sheetViews>
  <sheetFormatPr defaultColWidth="8.5703125" defaultRowHeight="12" x14ac:dyDescent="0.2"/>
  <cols>
    <col min="1" max="1" width="36.42578125" style="116" customWidth="1"/>
    <col min="2" max="2" width="61.5703125" style="116" customWidth="1"/>
    <col min="3" max="3" width="3.42578125" style="116" customWidth="1"/>
    <col min="4" max="24" width="3.5703125" style="116" customWidth="1"/>
    <col min="25" max="25" width="4.42578125" style="116" customWidth="1"/>
    <col min="26" max="28" width="16.42578125" style="116" customWidth="1"/>
    <col min="29" max="29" width="18.140625" style="116" customWidth="1"/>
    <col min="30" max="30" width="9" style="116" customWidth="1"/>
    <col min="31" max="31" width="9.140625" style="116" customWidth="1"/>
    <col min="32" max="32" width="9" style="116" customWidth="1"/>
    <col min="33" max="33" width="10.5703125" style="117" customWidth="1"/>
    <col min="34" max="36" width="10.5703125" style="116" customWidth="1"/>
    <col min="37" max="37" width="52.140625" style="116" customWidth="1"/>
    <col min="38" max="38" width="51.5703125" style="116" customWidth="1"/>
    <col min="39" max="42" width="8.5703125" style="116"/>
    <col min="43" max="43" width="18.85546875" style="116" customWidth="1"/>
    <col min="44" max="16384" width="8.5703125" style="116"/>
  </cols>
  <sheetData>
    <row r="1" spans="1:43" ht="26.1" customHeight="1" thickBot="1" x14ac:dyDescent="0.3">
      <c r="A1" s="1374" t="s">
        <v>195</v>
      </c>
      <c r="B1" s="1375"/>
      <c r="C1" s="1374" t="s">
        <v>193</v>
      </c>
      <c r="D1" s="1376"/>
      <c r="E1" s="1376"/>
      <c r="F1" s="1376"/>
      <c r="G1" s="1376"/>
      <c r="H1" s="1376"/>
      <c r="I1" s="1376"/>
      <c r="J1" s="1376"/>
      <c r="K1" s="1376"/>
      <c r="L1" s="1376"/>
      <c r="M1" s="1376"/>
      <c r="N1" s="1376"/>
      <c r="O1" s="1376"/>
      <c r="P1" s="1376"/>
      <c r="Q1" s="1376"/>
      <c r="R1" s="1376"/>
      <c r="S1" s="1376"/>
      <c r="T1" s="1376"/>
      <c r="U1" s="1376"/>
      <c r="V1" s="1376"/>
      <c r="W1" s="1376"/>
      <c r="X1" s="1376"/>
      <c r="Y1" s="1376"/>
      <c r="Z1" s="1376"/>
      <c r="AA1" s="1376"/>
      <c r="AB1" s="1376"/>
      <c r="AC1" s="1376"/>
      <c r="AD1" s="1376"/>
      <c r="AE1" s="1376"/>
      <c r="AF1" s="1376"/>
      <c r="AG1" s="1376"/>
      <c r="AH1" s="1376"/>
      <c r="AI1" s="1376"/>
      <c r="AJ1" s="1376"/>
      <c r="AK1" s="1376"/>
      <c r="AL1" s="1376"/>
      <c r="AM1" s="1376"/>
      <c r="AN1" s="1376"/>
      <c r="AO1" s="1376"/>
      <c r="AP1" s="1376"/>
      <c r="AQ1" s="1376"/>
    </row>
    <row r="2" spans="1:43" ht="12.75" thickBot="1" x14ac:dyDescent="0.25">
      <c r="A2" s="213"/>
      <c r="B2" s="212"/>
      <c r="C2" s="214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5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5"/>
      <c r="Z2" s="1382" t="s">
        <v>228</v>
      </c>
      <c r="AA2" s="1383"/>
      <c r="AB2" s="1383"/>
      <c r="AC2" s="1383"/>
      <c r="AD2" s="1383"/>
      <c r="AE2" s="1383"/>
      <c r="AF2" s="1383"/>
      <c r="AG2" s="1383"/>
      <c r="AH2" s="1383"/>
      <c r="AI2" s="1383"/>
      <c r="AJ2" s="1383"/>
      <c r="AK2" s="1384"/>
      <c r="AL2" s="1377" t="s">
        <v>227</v>
      </c>
      <c r="AM2" s="1378"/>
      <c r="AN2" s="1378"/>
      <c r="AO2" s="1378"/>
      <c r="AP2" s="1378"/>
      <c r="AQ2" s="1379"/>
    </row>
    <row r="3" spans="1:43" ht="11.1" customHeight="1" thickBot="1" x14ac:dyDescent="0.25">
      <c r="A3" s="242"/>
      <c r="B3" s="240"/>
      <c r="C3" s="241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39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39"/>
      <c r="Z3" s="1377" t="s">
        <v>281</v>
      </c>
      <c r="AA3" s="1378"/>
      <c r="AB3" s="1378"/>
      <c r="AC3" s="1378"/>
      <c r="AD3" s="1377" t="s">
        <v>282</v>
      </c>
      <c r="AE3" s="1378"/>
      <c r="AF3" s="1378"/>
      <c r="AG3" s="1378"/>
      <c r="AH3" s="1378"/>
      <c r="AI3" s="1378"/>
      <c r="AJ3" s="1378"/>
      <c r="AK3" s="1379"/>
      <c r="AL3" s="218"/>
      <c r="AM3" s="219"/>
      <c r="AN3" s="219"/>
      <c r="AO3" s="219"/>
      <c r="AP3" s="219"/>
      <c r="AQ3" s="210"/>
    </row>
    <row r="4" spans="1:43" ht="48" customHeight="1" x14ac:dyDescent="0.2">
      <c r="A4" s="242" t="s">
        <v>196</v>
      </c>
      <c r="B4" s="497" t="s">
        <v>293</v>
      </c>
      <c r="C4" s="241" t="s">
        <v>119</v>
      </c>
      <c r="D4" s="240" t="s">
        <v>120</v>
      </c>
      <c r="E4" s="240" t="s">
        <v>121</v>
      </c>
      <c r="F4" s="240" t="s">
        <v>122</v>
      </c>
      <c r="G4" s="240" t="s">
        <v>123</v>
      </c>
      <c r="H4" s="240" t="s">
        <v>124</v>
      </c>
      <c r="I4" s="240" t="s">
        <v>125</v>
      </c>
      <c r="J4" s="240" t="s">
        <v>126</v>
      </c>
      <c r="K4" s="240" t="s">
        <v>127</v>
      </c>
      <c r="L4" s="240" t="s">
        <v>128</v>
      </c>
      <c r="M4" s="240" t="s">
        <v>129</v>
      </c>
      <c r="N4" s="239" t="s">
        <v>130</v>
      </c>
      <c r="O4" s="240" t="s">
        <v>131</v>
      </c>
      <c r="P4" s="240" t="s">
        <v>132</v>
      </c>
      <c r="Q4" s="240" t="s">
        <v>133</v>
      </c>
      <c r="R4" s="240" t="s">
        <v>134</v>
      </c>
      <c r="S4" s="240" t="s">
        <v>135</v>
      </c>
      <c r="T4" s="240" t="s">
        <v>136</v>
      </c>
      <c r="U4" s="240" t="s">
        <v>137</v>
      </c>
      <c r="V4" s="240" t="s">
        <v>138</v>
      </c>
      <c r="W4" s="240" t="s">
        <v>139</v>
      </c>
      <c r="X4" s="240" t="s">
        <v>140</v>
      </c>
      <c r="Y4" s="239" t="s">
        <v>141</v>
      </c>
      <c r="Z4" s="214" t="s">
        <v>283</v>
      </c>
      <c r="AA4" s="212" t="s">
        <v>284</v>
      </c>
      <c r="AB4" s="212" t="s">
        <v>285</v>
      </c>
      <c r="AC4" s="212" t="s">
        <v>286</v>
      </c>
      <c r="AD4" s="216" t="s">
        <v>188</v>
      </c>
      <c r="AE4" s="217" t="s">
        <v>189</v>
      </c>
      <c r="AF4" s="217" t="s">
        <v>190</v>
      </c>
      <c r="AG4" s="210" t="s">
        <v>192</v>
      </c>
      <c r="AH4" s="210" t="s">
        <v>191</v>
      </c>
      <c r="AI4" s="210" t="s">
        <v>150</v>
      </c>
      <c r="AJ4" s="476" t="s">
        <v>194</v>
      </c>
      <c r="AK4" s="476" t="s">
        <v>197</v>
      </c>
      <c r="AL4" s="476" t="s">
        <v>226</v>
      </c>
      <c r="AM4" s="216" t="s">
        <v>188</v>
      </c>
      <c r="AN4" s="217" t="s">
        <v>189</v>
      </c>
      <c r="AO4" s="217" t="s">
        <v>190</v>
      </c>
      <c r="AP4" s="210" t="s">
        <v>192</v>
      </c>
      <c r="AQ4" s="1380" t="s">
        <v>225</v>
      </c>
    </row>
    <row r="5" spans="1:43" ht="8.25" customHeight="1" thickBot="1" x14ac:dyDescent="0.25">
      <c r="A5" s="118"/>
      <c r="B5" s="119"/>
      <c r="C5" s="120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21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21"/>
      <c r="Z5" s="120"/>
      <c r="AA5" s="119"/>
      <c r="AB5" s="119"/>
      <c r="AC5" s="119"/>
      <c r="AD5" s="218"/>
      <c r="AE5" s="219"/>
      <c r="AF5" s="219"/>
      <c r="AG5" s="221"/>
      <c r="AH5" s="221"/>
      <c r="AI5" s="221"/>
      <c r="AJ5" s="584"/>
      <c r="AK5" s="238"/>
      <c r="AL5" s="223"/>
      <c r="AM5" s="218"/>
      <c r="AN5" s="219"/>
      <c r="AO5" s="219"/>
      <c r="AP5" s="221"/>
      <c r="AQ5" s="1381"/>
    </row>
    <row r="6" spans="1:43" ht="24" x14ac:dyDescent="0.2">
      <c r="A6" s="591" t="str">
        <f>'Rozpočet - vývoj Aplikácií'!$C$4&amp;" (AIS KSED)"</f>
        <v>Modul Integrované povoľovanie (AIS KSED)</v>
      </c>
      <c r="B6" s="592" t="s">
        <v>375</v>
      </c>
      <c r="C6" s="593"/>
      <c r="D6" s="594"/>
      <c r="E6" s="594"/>
      <c r="F6" s="594"/>
      <c r="G6" s="594"/>
      <c r="H6" s="594"/>
      <c r="I6" s="594"/>
      <c r="J6" s="594"/>
      <c r="K6" s="594"/>
      <c r="L6" s="594"/>
      <c r="M6" s="594"/>
      <c r="N6" s="595"/>
      <c r="O6" s="594"/>
      <c r="P6" s="594"/>
      <c r="Q6" s="594"/>
      <c r="R6" s="594"/>
      <c r="S6" s="594"/>
      <c r="T6" s="594"/>
      <c r="U6" s="594"/>
      <c r="V6" s="594"/>
      <c r="W6" s="594"/>
      <c r="X6" s="594"/>
      <c r="Y6" s="595"/>
      <c r="Z6" s="596"/>
      <c r="AA6" s="597"/>
      <c r="AB6" s="597"/>
      <c r="AC6" s="598"/>
      <c r="AD6" s="599"/>
      <c r="AE6" s="600"/>
      <c r="AF6" s="600"/>
      <c r="AG6" s="440">
        <f t="shared" ref="AG6:AG118" si="0">AD6*AF6+AC6</f>
        <v>0</v>
      </c>
      <c r="AH6" s="440">
        <f t="shared" ref="AH6:AH118" si="1">AE6*AF6+AC6</f>
        <v>0</v>
      </c>
      <c r="AI6" s="440">
        <f t="shared" ref="AI6:AI118" si="2">AH6-AG6</f>
        <v>0</v>
      </c>
      <c r="AJ6" s="584"/>
      <c r="AK6" s="601"/>
      <c r="AL6" s="441"/>
      <c r="AM6" s="599"/>
      <c r="AN6" s="600"/>
      <c r="AO6" s="600"/>
      <c r="AP6" s="440">
        <f t="shared" ref="AP6:AP118" si="3">AM6*AO6</f>
        <v>0</v>
      </c>
      <c r="AQ6" s="601"/>
    </row>
    <row r="7" spans="1:43" x14ac:dyDescent="0.2">
      <c r="A7" s="602"/>
      <c r="B7" s="603" t="s">
        <v>414</v>
      </c>
      <c r="C7" s="593"/>
      <c r="D7" s="594"/>
      <c r="E7" s="594"/>
      <c r="F7" s="594"/>
      <c r="G7" s="594"/>
      <c r="H7" s="594"/>
      <c r="I7" s="594"/>
      <c r="J7" s="594"/>
      <c r="K7" s="594"/>
      <c r="L7" s="594"/>
      <c r="M7" s="594"/>
      <c r="N7" s="595"/>
      <c r="O7" s="594"/>
      <c r="P7" s="594"/>
      <c r="Q7" s="594"/>
      <c r="R7" s="594"/>
      <c r="S7" s="594"/>
      <c r="T7" s="594"/>
      <c r="U7" s="594"/>
      <c r="V7" s="594"/>
      <c r="W7" s="594"/>
      <c r="X7" s="594"/>
      <c r="Y7" s="595"/>
      <c r="Z7" s="604"/>
      <c r="AA7" s="605"/>
      <c r="AB7" s="605"/>
      <c r="AC7" s="606"/>
      <c r="AD7" s="607"/>
      <c r="AE7" s="608"/>
      <c r="AF7" s="608"/>
      <c r="AG7" s="440"/>
      <c r="AH7" s="440"/>
      <c r="AI7" s="440"/>
      <c r="AJ7" s="584"/>
      <c r="AK7" s="609"/>
      <c r="AL7" s="441"/>
      <c r="AM7" s="607"/>
      <c r="AN7" s="608"/>
      <c r="AO7" s="608"/>
      <c r="AP7" s="440"/>
      <c r="AQ7" s="609"/>
    </row>
    <row r="8" spans="1:43" x14ac:dyDescent="0.2">
      <c r="A8" s="602"/>
      <c r="B8" s="603" t="s">
        <v>376</v>
      </c>
      <c r="C8" s="593"/>
      <c r="D8" s="594"/>
      <c r="E8" s="594"/>
      <c r="F8" s="594"/>
      <c r="G8" s="594"/>
      <c r="H8" s="594"/>
      <c r="I8" s="594"/>
      <c r="J8" s="594"/>
      <c r="K8" s="594"/>
      <c r="L8" s="594"/>
      <c r="M8" s="594"/>
      <c r="N8" s="595"/>
      <c r="O8" s="594"/>
      <c r="P8" s="594"/>
      <c r="Q8" s="594"/>
      <c r="R8" s="594"/>
      <c r="S8" s="594"/>
      <c r="T8" s="594"/>
      <c r="U8" s="594"/>
      <c r="V8" s="594"/>
      <c r="W8" s="594"/>
      <c r="X8" s="594"/>
      <c r="Y8" s="595"/>
      <c r="Z8" s="604"/>
      <c r="AA8" s="605"/>
      <c r="AB8" s="605"/>
      <c r="AC8" s="606"/>
      <c r="AD8" s="607"/>
      <c r="AE8" s="608"/>
      <c r="AF8" s="608"/>
      <c r="AG8" s="440"/>
      <c r="AH8" s="440"/>
      <c r="AI8" s="440"/>
      <c r="AJ8" s="584"/>
      <c r="AK8" s="609"/>
      <c r="AL8" s="441"/>
      <c r="AM8" s="607"/>
      <c r="AN8" s="608"/>
      <c r="AO8" s="608"/>
      <c r="AP8" s="440"/>
      <c r="AQ8" s="609"/>
    </row>
    <row r="9" spans="1:43" x14ac:dyDescent="0.2">
      <c r="A9" s="602"/>
      <c r="B9" s="603" t="s">
        <v>417</v>
      </c>
      <c r="C9" s="593"/>
      <c r="D9" s="594"/>
      <c r="E9" s="594"/>
      <c r="F9" s="594"/>
      <c r="G9" s="594"/>
      <c r="H9" s="594"/>
      <c r="I9" s="594"/>
      <c r="J9" s="594"/>
      <c r="K9" s="594"/>
      <c r="L9" s="594"/>
      <c r="M9" s="594"/>
      <c r="N9" s="595"/>
      <c r="O9" s="594"/>
      <c r="P9" s="594"/>
      <c r="Q9" s="594"/>
      <c r="R9" s="594"/>
      <c r="S9" s="594"/>
      <c r="T9" s="594"/>
      <c r="U9" s="594"/>
      <c r="V9" s="594"/>
      <c r="W9" s="594"/>
      <c r="X9" s="594"/>
      <c r="Y9" s="595"/>
      <c r="Z9" s="604"/>
      <c r="AA9" s="605"/>
      <c r="AB9" s="605"/>
      <c r="AC9" s="606"/>
      <c r="AD9" s="607"/>
      <c r="AE9" s="608"/>
      <c r="AF9" s="608"/>
      <c r="AG9" s="440"/>
      <c r="AH9" s="440"/>
      <c r="AI9" s="440"/>
      <c r="AJ9" s="584"/>
      <c r="AK9" s="609"/>
      <c r="AL9" s="441"/>
      <c r="AM9" s="607"/>
      <c r="AN9" s="608"/>
      <c r="AO9" s="608"/>
      <c r="AP9" s="440"/>
      <c r="AQ9" s="609"/>
    </row>
    <row r="10" spans="1:43" ht="24" x14ac:dyDescent="0.2">
      <c r="A10" s="602"/>
      <c r="B10" s="603" t="s">
        <v>377</v>
      </c>
      <c r="C10" s="593"/>
      <c r="D10" s="594"/>
      <c r="E10" s="594"/>
      <c r="F10" s="594"/>
      <c r="G10" s="594"/>
      <c r="H10" s="594"/>
      <c r="I10" s="594"/>
      <c r="J10" s="594"/>
      <c r="K10" s="594"/>
      <c r="L10" s="594"/>
      <c r="M10" s="594"/>
      <c r="N10" s="595"/>
      <c r="O10" s="594"/>
      <c r="P10" s="594"/>
      <c r="Q10" s="594"/>
      <c r="R10" s="594"/>
      <c r="S10" s="594"/>
      <c r="T10" s="594"/>
      <c r="U10" s="594"/>
      <c r="V10" s="594"/>
      <c r="W10" s="594"/>
      <c r="X10" s="594"/>
      <c r="Y10" s="595"/>
      <c r="Z10" s="604"/>
      <c r="AA10" s="605"/>
      <c r="AB10" s="605"/>
      <c r="AC10" s="606"/>
      <c r="AD10" s="607"/>
      <c r="AE10" s="608"/>
      <c r="AF10" s="608"/>
      <c r="AG10" s="440"/>
      <c r="AH10" s="440"/>
      <c r="AI10" s="440"/>
      <c r="AJ10" s="584"/>
      <c r="AK10" s="609"/>
      <c r="AL10" s="441"/>
      <c r="AM10" s="607"/>
      <c r="AN10" s="608"/>
      <c r="AO10" s="608"/>
      <c r="AP10" s="440"/>
      <c r="AQ10" s="609"/>
    </row>
    <row r="11" spans="1:43" ht="48" x14ac:dyDescent="0.2">
      <c r="A11" s="602"/>
      <c r="B11" s="603" t="s">
        <v>415</v>
      </c>
      <c r="C11" s="593"/>
      <c r="D11" s="594"/>
      <c r="E11" s="594"/>
      <c r="F11" s="594"/>
      <c r="G11" s="594"/>
      <c r="H11" s="594"/>
      <c r="I11" s="594"/>
      <c r="J11" s="594"/>
      <c r="K11" s="594"/>
      <c r="L11" s="594"/>
      <c r="M11" s="594"/>
      <c r="N11" s="595"/>
      <c r="O11" s="594"/>
      <c r="P11" s="594"/>
      <c r="Q11" s="594"/>
      <c r="R11" s="594"/>
      <c r="S11" s="594"/>
      <c r="T11" s="594"/>
      <c r="U11" s="594"/>
      <c r="V11" s="594"/>
      <c r="W11" s="594"/>
      <c r="X11" s="594"/>
      <c r="Y11" s="595"/>
      <c r="Z11" s="604"/>
      <c r="AA11" s="605"/>
      <c r="AB11" s="605"/>
      <c r="AC11" s="606"/>
      <c r="AD11" s="607"/>
      <c r="AE11" s="608"/>
      <c r="AF11" s="608"/>
      <c r="AG11" s="440"/>
      <c r="AH11" s="440"/>
      <c r="AI11" s="440"/>
      <c r="AJ11" s="584"/>
      <c r="AK11" s="609"/>
      <c r="AL11" s="441"/>
      <c r="AM11" s="607"/>
      <c r="AN11" s="608"/>
      <c r="AO11" s="608"/>
      <c r="AP11" s="440"/>
      <c r="AQ11" s="609"/>
    </row>
    <row r="12" spans="1:43" x14ac:dyDescent="0.2">
      <c r="A12" s="602"/>
      <c r="B12" s="603" t="s">
        <v>416</v>
      </c>
      <c r="C12" s="593"/>
      <c r="D12" s="594"/>
      <c r="E12" s="594"/>
      <c r="F12" s="594"/>
      <c r="G12" s="594"/>
      <c r="H12" s="594"/>
      <c r="I12" s="594"/>
      <c r="J12" s="594"/>
      <c r="K12" s="594"/>
      <c r="L12" s="594"/>
      <c r="M12" s="594"/>
      <c r="N12" s="595"/>
      <c r="O12" s="594"/>
      <c r="P12" s="594"/>
      <c r="Q12" s="594"/>
      <c r="R12" s="594"/>
      <c r="S12" s="594"/>
      <c r="T12" s="594"/>
      <c r="U12" s="594"/>
      <c r="V12" s="594"/>
      <c r="W12" s="594"/>
      <c r="X12" s="594"/>
      <c r="Y12" s="595"/>
      <c r="Z12" s="604"/>
      <c r="AA12" s="605"/>
      <c r="AB12" s="605"/>
      <c r="AC12" s="606"/>
      <c r="AD12" s="607"/>
      <c r="AE12" s="608"/>
      <c r="AF12" s="608"/>
      <c r="AG12" s="440"/>
      <c r="AH12" s="440"/>
      <c r="AI12" s="440"/>
      <c r="AJ12" s="584"/>
      <c r="AK12" s="609"/>
      <c r="AL12" s="441"/>
      <c r="AM12" s="607"/>
      <c r="AN12" s="608"/>
      <c r="AO12" s="608"/>
      <c r="AP12" s="440"/>
      <c r="AQ12" s="609"/>
    </row>
    <row r="13" spans="1:43" x14ac:dyDescent="0.2">
      <c r="A13" s="602"/>
      <c r="B13" s="603" t="s">
        <v>371</v>
      </c>
      <c r="C13" s="593"/>
      <c r="D13" s="594"/>
      <c r="E13" s="594"/>
      <c r="F13" s="594"/>
      <c r="G13" s="594"/>
      <c r="H13" s="594"/>
      <c r="I13" s="594"/>
      <c r="J13" s="594"/>
      <c r="K13" s="594"/>
      <c r="L13" s="594"/>
      <c r="M13" s="594"/>
      <c r="N13" s="595"/>
      <c r="O13" s="594"/>
      <c r="P13" s="594"/>
      <c r="Q13" s="594"/>
      <c r="R13" s="594"/>
      <c r="S13" s="594"/>
      <c r="T13" s="594"/>
      <c r="U13" s="594"/>
      <c r="V13" s="594"/>
      <c r="W13" s="594"/>
      <c r="X13" s="594"/>
      <c r="Y13" s="595"/>
      <c r="Z13" s="604"/>
      <c r="AA13" s="605"/>
      <c r="AB13" s="605"/>
      <c r="AC13" s="606"/>
      <c r="AD13" s="607"/>
      <c r="AE13" s="608"/>
      <c r="AF13" s="608"/>
      <c r="AG13" s="440"/>
      <c r="AH13" s="440"/>
      <c r="AI13" s="440"/>
      <c r="AJ13" s="584"/>
      <c r="AK13" s="609"/>
      <c r="AL13" s="441"/>
      <c r="AM13" s="607"/>
      <c r="AN13" s="608"/>
      <c r="AO13" s="608"/>
      <c r="AP13" s="440"/>
      <c r="AQ13" s="609"/>
    </row>
    <row r="14" spans="1:43" x14ac:dyDescent="0.2">
      <c r="A14" s="602"/>
      <c r="B14" s="603" t="s">
        <v>378</v>
      </c>
      <c r="C14" s="593"/>
      <c r="D14" s="594"/>
      <c r="E14" s="594"/>
      <c r="F14" s="594"/>
      <c r="G14" s="594"/>
      <c r="H14" s="594"/>
      <c r="I14" s="594"/>
      <c r="J14" s="594"/>
      <c r="K14" s="594"/>
      <c r="L14" s="594"/>
      <c r="M14" s="594"/>
      <c r="N14" s="595"/>
      <c r="O14" s="594"/>
      <c r="P14" s="594"/>
      <c r="Q14" s="594"/>
      <c r="R14" s="594"/>
      <c r="S14" s="594"/>
      <c r="T14" s="594"/>
      <c r="U14" s="594"/>
      <c r="V14" s="594"/>
      <c r="W14" s="594"/>
      <c r="X14" s="594"/>
      <c r="Y14" s="595"/>
      <c r="Z14" s="604"/>
      <c r="AA14" s="605"/>
      <c r="AB14" s="605"/>
      <c r="AC14" s="606"/>
      <c r="AD14" s="607"/>
      <c r="AE14" s="608"/>
      <c r="AF14" s="608"/>
      <c r="AG14" s="440"/>
      <c r="AH14" s="440"/>
      <c r="AI14" s="440"/>
      <c r="AJ14" s="584"/>
      <c r="AK14" s="609"/>
      <c r="AL14" s="441"/>
      <c r="AM14" s="607"/>
      <c r="AN14" s="608"/>
      <c r="AO14" s="608"/>
      <c r="AP14" s="440"/>
      <c r="AQ14" s="609"/>
    </row>
    <row r="15" spans="1:43" ht="60" x14ac:dyDescent="0.2">
      <c r="A15" s="602"/>
      <c r="B15" s="603" t="s">
        <v>372</v>
      </c>
      <c r="C15" s="593"/>
      <c r="D15" s="594"/>
      <c r="E15" s="594"/>
      <c r="F15" s="594"/>
      <c r="G15" s="594"/>
      <c r="H15" s="594"/>
      <c r="I15" s="594"/>
      <c r="J15" s="594"/>
      <c r="K15" s="594"/>
      <c r="L15" s="594"/>
      <c r="M15" s="594"/>
      <c r="N15" s="595"/>
      <c r="O15" s="594"/>
      <c r="P15" s="594"/>
      <c r="Q15" s="594"/>
      <c r="R15" s="594"/>
      <c r="S15" s="594"/>
      <c r="T15" s="594"/>
      <c r="U15" s="594"/>
      <c r="V15" s="594"/>
      <c r="W15" s="594"/>
      <c r="X15" s="594"/>
      <c r="Y15" s="595"/>
      <c r="Z15" s="604"/>
      <c r="AA15" s="605"/>
      <c r="AB15" s="605"/>
      <c r="AC15" s="606"/>
      <c r="AD15" s="607"/>
      <c r="AE15" s="608"/>
      <c r="AF15" s="608"/>
      <c r="AG15" s="440"/>
      <c r="AH15" s="440"/>
      <c r="AI15" s="440"/>
      <c r="AJ15" s="584"/>
      <c r="AK15" s="609"/>
      <c r="AL15" s="441"/>
      <c r="AM15" s="607"/>
      <c r="AN15" s="608"/>
      <c r="AO15" s="608"/>
      <c r="AP15" s="440"/>
      <c r="AQ15" s="609"/>
    </row>
    <row r="16" spans="1:43" x14ac:dyDescent="0.2">
      <c r="A16" s="602"/>
      <c r="B16" s="603" t="s">
        <v>379</v>
      </c>
      <c r="C16" s="593"/>
      <c r="D16" s="594"/>
      <c r="E16" s="594"/>
      <c r="F16" s="594"/>
      <c r="G16" s="594"/>
      <c r="H16" s="594"/>
      <c r="I16" s="594"/>
      <c r="J16" s="594"/>
      <c r="K16" s="594"/>
      <c r="L16" s="594"/>
      <c r="M16" s="594"/>
      <c r="N16" s="595"/>
      <c r="O16" s="594"/>
      <c r="P16" s="594"/>
      <c r="Q16" s="594"/>
      <c r="R16" s="594"/>
      <c r="S16" s="594"/>
      <c r="T16" s="594"/>
      <c r="U16" s="594"/>
      <c r="V16" s="594"/>
      <c r="W16" s="594"/>
      <c r="X16" s="594"/>
      <c r="Y16" s="595"/>
      <c r="Z16" s="604"/>
      <c r="AA16" s="605"/>
      <c r="AB16" s="605"/>
      <c r="AC16" s="606"/>
      <c r="AD16" s="607"/>
      <c r="AE16" s="608"/>
      <c r="AF16" s="608"/>
      <c r="AG16" s="440"/>
      <c r="AH16" s="440"/>
      <c r="AI16" s="440"/>
      <c r="AJ16" s="584"/>
      <c r="AK16" s="609"/>
      <c r="AL16" s="441"/>
      <c r="AM16" s="607"/>
      <c r="AN16" s="608"/>
      <c r="AO16" s="608"/>
      <c r="AP16" s="440"/>
      <c r="AQ16" s="609"/>
    </row>
    <row r="17" spans="1:43" x14ac:dyDescent="0.2">
      <c r="A17" s="602"/>
      <c r="B17" s="603" t="s">
        <v>373</v>
      </c>
      <c r="C17" s="593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5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5"/>
      <c r="Z17" s="604"/>
      <c r="AA17" s="605"/>
      <c r="AB17" s="605"/>
      <c r="AC17" s="606"/>
      <c r="AD17" s="607"/>
      <c r="AE17" s="608"/>
      <c r="AF17" s="608"/>
      <c r="AG17" s="440"/>
      <c r="AH17" s="440"/>
      <c r="AI17" s="440"/>
      <c r="AJ17" s="584"/>
      <c r="AK17" s="609"/>
      <c r="AL17" s="441"/>
      <c r="AM17" s="607"/>
      <c r="AN17" s="608"/>
      <c r="AO17" s="608"/>
      <c r="AP17" s="440"/>
      <c r="AQ17" s="609"/>
    </row>
    <row r="18" spans="1:43" x14ac:dyDescent="0.2">
      <c r="A18" s="602"/>
      <c r="B18" s="603" t="s">
        <v>380</v>
      </c>
      <c r="C18" s="593"/>
      <c r="D18" s="594"/>
      <c r="E18" s="594"/>
      <c r="F18" s="594"/>
      <c r="G18" s="594"/>
      <c r="H18" s="594"/>
      <c r="I18" s="594"/>
      <c r="J18" s="594"/>
      <c r="K18" s="594"/>
      <c r="L18" s="594"/>
      <c r="M18" s="594"/>
      <c r="N18" s="595"/>
      <c r="O18" s="594"/>
      <c r="P18" s="594"/>
      <c r="Q18" s="594"/>
      <c r="R18" s="594"/>
      <c r="S18" s="594"/>
      <c r="T18" s="594"/>
      <c r="U18" s="594"/>
      <c r="V18" s="594"/>
      <c r="W18" s="594"/>
      <c r="X18" s="594"/>
      <c r="Y18" s="595"/>
      <c r="Z18" s="604"/>
      <c r="AA18" s="605"/>
      <c r="AB18" s="605"/>
      <c r="AC18" s="606"/>
      <c r="AD18" s="607"/>
      <c r="AE18" s="608"/>
      <c r="AF18" s="608"/>
      <c r="AG18" s="440"/>
      <c r="AH18" s="440"/>
      <c r="AI18" s="440"/>
      <c r="AJ18" s="584"/>
      <c r="AK18" s="609"/>
      <c r="AL18" s="441"/>
      <c r="AM18" s="607"/>
      <c r="AN18" s="608"/>
      <c r="AO18" s="608"/>
      <c r="AP18" s="440"/>
      <c r="AQ18" s="609"/>
    </row>
    <row r="19" spans="1:43" ht="36" x14ac:dyDescent="0.2">
      <c r="A19" s="602"/>
      <c r="B19" s="603" t="s">
        <v>374</v>
      </c>
      <c r="C19" s="593"/>
      <c r="D19" s="594"/>
      <c r="E19" s="594"/>
      <c r="F19" s="594"/>
      <c r="G19" s="594"/>
      <c r="H19" s="594"/>
      <c r="I19" s="594"/>
      <c r="J19" s="594"/>
      <c r="K19" s="594"/>
      <c r="L19" s="594"/>
      <c r="M19" s="594"/>
      <c r="N19" s="595"/>
      <c r="O19" s="594"/>
      <c r="P19" s="594"/>
      <c r="Q19" s="594"/>
      <c r="R19" s="594"/>
      <c r="S19" s="594"/>
      <c r="T19" s="594"/>
      <c r="U19" s="594"/>
      <c r="V19" s="594"/>
      <c r="W19" s="594"/>
      <c r="X19" s="594"/>
      <c r="Y19" s="595"/>
      <c r="Z19" s="604"/>
      <c r="AA19" s="605"/>
      <c r="AB19" s="605"/>
      <c r="AC19" s="606"/>
      <c r="AD19" s="607"/>
      <c r="AE19" s="608"/>
      <c r="AF19" s="608"/>
      <c r="AG19" s="440"/>
      <c r="AH19" s="440"/>
      <c r="AI19" s="440"/>
      <c r="AJ19" s="584"/>
      <c r="AK19" s="609"/>
      <c r="AL19" s="441"/>
      <c r="AM19" s="607"/>
      <c r="AN19" s="608"/>
      <c r="AO19" s="608"/>
      <c r="AP19" s="440"/>
      <c r="AQ19" s="609"/>
    </row>
    <row r="20" spans="1:43" x14ac:dyDescent="0.2">
      <c r="A20" s="602"/>
      <c r="B20" s="603" t="s">
        <v>381</v>
      </c>
      <c r="C20" s="593"/>
      <c r="D20" s="594"/>
      <c r="E20" s="594"/>
      <c r="F20" s="594"/>
      <c r="G20" s="594"/>
      <c r="H20" s="594"/>
      <c r="I20" s="594"/>
      <c r="J20" s="594"/>
      <c r="K20" s="594"/>
      <c r="L20" s="594"/>
      <c r="M20" s="594"/>
      <c r="N20" s="595"/>
      <c r="O20" s="594"/>
      <c r="P20" s="594"/>
      <c r="Q20" s="594"/>
      <c r="R20" s="594"/>
      <c r="S20" s="594"/>
      <c r="T20" s="594"/>
      <c r="U20" s="594"/>
      <c r="V20" s="594"/>
      <c r="W20" s="594"/>
      <c r="X20" s="594"/>
      <c r="Y20" s="595"/>
      <c r="Z20" s="604"/>
      <c r="AA20" s="605"/>
      <c r="AB20" s="605"/>
      <c r="AC20" s="606"/>
      <c r="AD20" s="607"/>
      <c r="AE20" s="608"/>
      <c r="AF20" s="608"/>
      <c r="AG20" s="440"/>
      <c r="AH20" s="440"/>
      <c r="AI20" s="440"/>
      <c r="AJ20" s="584"/>
      <c r="AK20" s="609"/>
      <c r="AL20" s="441"/>
      <c r="AM20" s="607"/>
      <c r="AN20" s="608"/>
      <c r="AO20" s="608"/>
      <c r="AP20" s="440"/>
      <c r="AQ20" s="609"/>
    </row>
    <row r="21" spans="1:43" x14ac:dyDescent="0.2">
      <c r="A21" s="602"/>
      <c r="B21" s="603" t="s">
        <v>382</v>
      </c>
      <c r="C21" s="593"/>
      <c r="D21" s="594"/>
      <c r="E21" s="594"/>
      <c r="F21" s="594"/>
      <c r="G21" s="594"/>
      <c r="H21" s="594"/>
      <c r="I21" s="594"/>
      <c r="J21" s="594"/>
      <c r="K21" s="594"/>
      <c r="L21" s="594"/>
      <c r="M21" s="594"/>
      <c r="N21" s="595"/>
      <c r="O21" s="594"/>
      <c r="P21" s="594"/>
      <c r="Q21" s="594"/>
      <c r="R21" s="594"/>
      <c r="S21" s="594"/>
      <c r="T21" s="594"/>
      <c r="U21" s="594"/>
      <c r="V21" s="594"/>
      <c r="W21" s="594"/>
      <c r="X21" s="594"/>
      <c r="Y21" s="595"/>
      <c r="Z21" s="604"/>
      <c r="AA21" s="605"/>
      <c r="AB21" s="605"/>
      <c r="AC21" s="606"/>
      <c r="AD21" s="607"/>
      <c r="AE21" s="608"/>
      <c r="AF21" s="608"/>
      <c r="AG21" s="440"/>
      <c r="AH21" s="440"/>
      <c r="AI21" s="440"/>
      <c r="AJ21" s="584"/>
      <c r="AK21" s="609"/>
      <c r="AL21" s="441"/>
      <c r="AM21" s="607"/>
      <c r="AN21" s="608"/>
      <c r="AO21" s="608"/>
      <c r="AP21" s="440"/>
      <c r="AQ21" s="609"/>
    </row>
    <row r="22" spans="1:43" ht="24" x14ac:dyDescent="0.2">
      <c r="A22" s="602"/>
      <c r="B22" s="603" t="s">
        <v>383</v>
      </c>
      <c r="C22" s="593"/>
      <c r="D22" s="594"/>
      <c r="E22" s="594"/>
      <c r="F22" s="594"/>
      <c r="G22" s="594"/>
      <c r="H22" s="594"/>
      <c r="I22" s="594"/>
      <c r="J22" s="594"/>
      <c r="K22" s="594"/>
      <c r="L22" s="594"/>
      <c r="M22" s="594"/>
      <c r="N22" s="595"/>
      <c r="O22" s="594"/>
      <c r="P22" s="594"/>
      <c r="Q22" s="594"/>
      <c r="R22" s="594"/>
      <c r="S22" s="594"/>
      <c r="T22" s="594"/>
      <c r="U22" s="594"/>
      <c r="V22" s="594"/>
      <c r="W22" s="594"/>
      <c r="X22" s="594"/>
      <c r="Y22" s="595"/>
      <c r="Z22" s="604"/>
      <c r="AA22" s="605"/>
      <c r="AB22" s="605"/>
      <c r="AC22" s="606"/>
      <c r="AD22" s="607"/>
      <c r="AE22" s="608"/>
      <c r="AF22" s="608"/>
      <c r="AG22" s="440"/>
      <c r="AH22" s="440"/>
      <c r="AI22" s="440"/>
      <c r="AJ22" s="584"/>
      <c r="AK22" s="609"/>
      <c r="AL22" s="441"/>
      <c r="AM22" s="607"/>
      <c r="AN22" s="608"/>
      <c r="AO22" s="608"/>
      <c r="AP22" s="440"/>
      <c r="AQ22" s="609"/>
    </row>
    <row r="23" spans="1:43" x14ac:dyDescent="0.2">
      <c r="A23" s="602"/>
      <c r="B23" s="603" t="s">
        <v>384</v>
      </c>
      <c r="C23" s="593"/>
      <c r="D23" s="594"/>
      <c r="E23" s="594"/>
      <c r="F23" s="594"/>
      <c r="G23" s="594"/>
      <c r="H23" s="594"/>
      <c r="I23" s="594"/>
      <c r="J23" s="594"/>
      <c r="K23" s="594"/>
      <c r="L23" s="594"/>
      <c r="M23" s="594"/>
      <c r="N23" s="595"/>
      <c r="O23" s="594"/>
      <c r="P23" s="594"/>
      <c r="Q23" s="594"/>
      <c r="R23" s="594"/>
      <c r="S23" s="594"/>
      <c r="T23" s="594"/>
      <c r="U23" s="594"/>
      <c r="V23" s="594"/>
      <c r="W23" s="594"/>
      <c r="X23" s="594"/>
      <c r="Y23" s="595"/>
      <c r="Z23" s="604"/>
      <c r="AA23" s="605"/>
      <c r="AB23" s="605"/>
      <c r="AC23" s="606"/>
      <c r="AD23" s="607"/>
      <c r="AE23" s="608"/>
      <c r="AF23" s="608"/>
      <c r="AG23" s="440"/>
      <c r="AH23" s="440"/>
      <c r="AI23" s="440"/>
      <c r="AJ23" s="584"/>
      <c r="AK23" s="609"/>
      <c r="AL23" s="441"/>
      <c r="AM23" s="607"/>
      <c r="AN23" s="608"/>
      <c r="AO23" s="608"/>
      <c r="AP23" s="440"/>
      <c r="AQ23" s="609"/>
    </row>
    <row r="24" spans="1:43" ht="48" x14ac:dyDescent="0.2">
      <c r="A24" s="602"/>
      <c r="B24" s="603" t="s">
        <v>418</v>
      </c>
      <c r="C24" s="593"/>
      <c r="D24" s="594"/>
      <c r="E24" s="594"/>
      <c r="F24" s="594"/>
      <c r="G24" s="594"/>
      <c r="H24" s="594"/>
      <c r="I24" s="594"/>
      <c r="J24" s="594"/>
      <c r="K24" s="594"/>
      <c r="L24" s="594"/>
      <c r="M24" s="594"/>
      <c r="N24" s="595"/>
      <c r="O24" s="594"/>
      <c r="P24" s="594"/>
      <c r="Q24" s="594"/>
      <c r="R24" s="594"/>
      <c r="S24" s="594"/>
      <c r="T24" s="594"/>
      <c r="U24" s="594"/>
      <c r="V24" s="594"/>
      <c r="W24" s="594"/>
      <c r="X24" s="594"/>
      <c r="Y24" s="595"/>
      <c r="Z24" s="604"/>
      <c r="AA24" s="605"/>
      <c r="AB24" s="605"/>
      <c r="AC24" s="606"/>
      <c r="AD24" s="607"/>
      <c r="AE24" s="608"/>
      <c r="AF24" s="608"/>
      <c r="AG24" s="440"/>
      <c r="AH24" s="440"/>
      <c r="AI24" s="440"/>
      <c r="AJ24" s="584"/>
      <c r="AK24" s="609"/>
      <c r="AL24" s="441"/>
      <c r="AM24" s="607"/>
      <c r="AN24" s="608"/>
      <c r="AO24" s="608"/>
      <c r="AP24" s="440"/>
      <c r="AQ24" s="609"/>
    </row>
    <row r="25" spans="1:43" x14ac:dyDescent="0.2">
      <c r="A25" s="602"/>
      <c r="B25" s="603" t="s">
        <v>385</v>
      </c>
      <c r="C25" s="593"/>
      <c r="D25" s="594"/>
      <c r="E25" s="594"/>
      <c r="F25" s="594"/>
      <c r="G25" s="594"/>
      <c r="H25" s="594"/>
      <c r="I25" s="594"/>
      <c r="J25" s="594"/>
      <c r="K25" s="594"/>
      <c r="L25" s="594"/>
      <c r="M25" s="594"/>
      <c r="N25" s="595"/>
      <c r="O25" s="594"/>
      <c r="P25" s="594"/>
      <c r="Q25" s="594"/>
      <c r="R25" s="594"/>
      <c r="S25" s="594"/>
      <c r="T25" s="594"/>
      <c r="U25" s="594"/>
      <c r="V25" s="594"/>
      <c r="W25" s="594"/>
      <c r="X25" s="594"/>
      <c r="Y25" s="595"/>
      <c r="Z25" s="604"/>
      <c r="AA25" s="605"/>
      <c r="AB25" s="605"/>
      <c r="AC25" s="606"/>
      <c r="AD25" s="607"/>
      <c r="AE25" s="608"/>
      <c r="AF25" s="608"/>
      <c r="AG25" s="440"/>
      <c r="AH25" s="440"/>
      <c r="AI25" s="440"/>
      <c r="AJ25" s="584"/>
      <c r="AK25" s="609"/>
      <c r="AL25" s="441"/>
      <c r="AM25" s="607"/>
      <c r="AN25" s="608"/>
      <c r="AO25" s="608"/>
      <c r="AP25" s="440"/>
      <c r="AQ25" s="609"/>
    </row>
    <row r="26" spans="1:43" ht="36" x14ac:dyDescent="0.2">
      <c r="A26" s="602"/>
      <c r="B26" s="603" t="s">
        <v>386</v>
      </c>
      <c r="C26" s="593"/>
      <c r="D26" s="594"/>
      <c r="E26" s="594"/>
      <c r="F26" s="594"/>
      <c r="G26" s="594"/>
      <c r="H26" s="594"/>
      <c r="I26" s="594"/>
      <c r="J26" s="594"/>
      <c r="K26" s="594"/>
      <c r="L26" s="594"/>
      <c r="M26" s="594"/>
      <c r="N26" s="595"/>
      <c r="O26" s="594"/>
      <c r="P26" s="594"/>
      <c r="Q26" s="594"/>
      <c r="R26" s="594"/>
      <c r="S26" s="594"/>
      <c r="T26" s="594"/>
      <c r="U26" s="594"/>
      <c r="V26" s="594"/>
      <c r="W26" s="594"/>
      <c r="X26" s="594"/>
      <c r="Y26" s="595"/>
      <c r="Z26" s="604"/>
      <c r="AA26" s="605"/>
      <c r="AB26" s="605"/>
      <c r="AC26" s="606"/>
      <c r="AD26" s="607"/>
      <c r="AE26" s="608"/>
      <c r="AF26" s="608"/>
      <c r="AG26" s="440"/>
      <c r="AH26" s="440"/>
      <c r="AI26" s="440"/>
      <c r="AJ26" s="584"/>
      <c r="AK26" s="609"/>
      <c r="AL26" s="441"/>
      <c r="AM26" s="607"/>
      <c r="AN26" s="608"/>
      <c r="AO26" s="608"/>
      <c r="AP26" s="440"/>
      <c r="AQ26" s="609"/>
    </row>
    <row r="27" spans="1:43" x14ac:dyDescent="0.2">
      <c r="A27" s="602"/>
      <c r="B27" s="603" t="s">
        <v>387</v>
      </c>
      <c r="C27" s="593"/>
      <c r="D27" s="594"/>
      <c r="E27" s="594"/>
      <c r="F27" s="594"/>
      <c r="G27" s="594"/>
      <c r="H27" s="594"/>
      <c r="I27" s="594"/>
      <c r="J27" s="594"/>
      <c r="K27" s="594"/>
      <c r="L27" s="594"/>
      <c r="M27" s="594"/>
      <c r="N27" s="595"/>
      <c r="O27" s="594"/>
      <c r="P27" s="594"/>
      <c r="Q27" s="594"/>
      <c r="R27" s="594"/>
      <c r="S27" s="594"/>
      <c r="T27" s="594"/>
      <c r="U27" s="594"/>
      <c r="V27" s="594"/>
      <c r="W27" s="594"/>
      <c r="X27" s="594"/>
      <c r="Y27" s="595"/>
      <c r="Z27" s="604"/>
      <c r="AA27" s="605"/>
      <c r="AB27" s="605"/>
      <c r="AC27" s="606"/>
      <c r="AD27" s="607"/>
      <c r="AE27" s="608"/>
      <c r="AF27" s="608"/>
      <c r="AG27" s="440"/>
      <c r="AH27" s="440"/>
      <c r="AI27" s="440"/>
      <c r="AJ27" s="584"/>
      <c r="AK27" s="609"/>
      <c r="AL27" s="441"/>
      <c r="AM27" s="607"/>
      <c r="AN27" s="608"/>
      <c r="AO27" s="608"/>
      <c r="AP27" s="440"/>
      <c r="AQ27" s="609"/>
    </row>
    <row r="28" spans="1:43" x14ac:dyDescent="0.2">
      <c r="A28" s="602"/>
      <c r="B28" s="603" t="s">
        <v>388</v>
      </c>
      <c r="C28" s="593"/>
      <c r="D28" s="594"/>
      <c r="E28" s="594"/>
      <c r="F28" s="594"/>
      <c r="G28" s="594"/>
      <c r="H28" s="594"/>
      <c r="I28" s="594"/>
      <c r="J28" s="594"/>
      <c r="K28" s="594"/>
      <c r="L28" s="594"/>
      <c r="M28" s="594"/>
      <c r="N28" s="595"/>
      <c r="O28" s="594"/>
      <c r="P28" s="594"/>
      <c r="Q28" s="594"/>
      <c r="R28" s="594"/>
      <c r="S28" s="594"/>
      <c r="T28" s="594"/>
      <c r="U28" s="594"/>
      <c r="V28" s="594"/>
      <c r="W28" s="594"/>
      <c r="X28" s="594"/>
      <c r="Y28" s="595"/>
      <c r="Z28" s="604"/>
      <c r="AA28" s="605"/>
      <c r="AB28" s="605"/>
      <c r="AC28" s="606"/>
      <c r="AD28" s="607"/>
      <c r="AE28" s="608"/>
      <c r="AF28" s="608"/>
      <c r="AG28" s="440"/>
      <c r="AH28" s="440"/>
      <c r="AI28" s="440"/>
      <c r="AJ28" s="584"/>
      <c r="AK28" s="609"/>
      <c r="AL28" s="441"/>
      <c r="AM28" s="607"/>
      <c r="AN28" s="608"/>
      <c r="AO28" s="608"/>
      <c r="AP28" s="440"/>
      <c r="AQ28" s="609"/>
    </row>
    <row r="29" spans="1:43" x14ac:dyDescent="0.2">
      <c r="A29" s="602"/>
      <c r="B29" s="603" t="s">
        <v>389</v>
      </c>
      <c r="C29" s="593"/>
      <c r="D29" s="594"/>
      <c r="E29" s="594"/>
      <c r="F29" s="594"/>
      <c r="G29" s="594"/>
      <c r="H29" s="594"/>
      <c r="I29" s="594"/>
      <c r="J29" s="594"/>
      <c r="K29" s="594"/>
      <c r="L29" s="594"/>
      <c r="M29" s="594"/>
      <c r="N29" s="595"/>
      <c r="O29" s="594"/>
      <c r="P29" s="594"/>
      <c r="Q29" s="594"/>
      <c r="R29" s="594"/>
      <c r="S29" s="594"/>
      <c r="T29" s="594"/>
      <c r="U29" s="594"/>
      <c r="V29" s="594"/>
      <c r="W29" s="594"/>
      <c r="X29" s="594"/>
      <c r="Y29" s="595"/>
      <c r="Z29" s="604"/>
      <c r="AA29" s="605"/>
      <c r="AB29" s="605"/>
      <c r="AC29" s="606"/>
      <c r="AD29" s="607"/>
      <c r="AE29" s="608"/>
      <c r="AF29" s="608"/>
      <c r="AG29" s="440"/>
      <c r="AH29" s="440"/>
      <c r="AI29" s="440"/>
      <c r="AJ29" s="584"/>
      <c r="AK29" s="609"/>
      <c r="AL29" s="441"/>
      <c r="AM29" s="607"/>
      <c r="AN29" s="608"/>
      <c r="AO29" s="608"/>
      <c r="AP29" s="440"/>
      <c r="AQ29" s="609"/>
    </row>
    <row r="30" spans="1:43" ht="36" x14ac:dyDescent="0.2">
      <c r="A30" s="602"/>
      <c r="B30" s="603" t="s">
        <v>463</v>
      </c>
      <c r="C30" s="593"/>
      <c r="D30" s="594"/>
      <c r="E30" s="594"/>
      <c r="F30" s="594"/>
      <c r="G30" s="594"/>
      <c r="H30" s="594"/>
      <c r="I30" s="594"/>
      <c r="J30" s="594"/>
      <c r="K30" s="594"/>
      <c r="L30" s="594"/>
      <c r="M30" s="594"/>
      <c r="N30" s="595"/>
      <c r="O30" s="594"/>
      <c r="P30" s="594"/>
      <c r="Q30" s="594"/>
      <c r="R30" s="594"/>
      <c r="S30" s="594"/>
      <c r="T30" s="594"/>
      <c r="U30" s="594"/>
      <c r="V30" s="594"/>
      <c r="W30" s="594"/>
      <c r="X30" s="594"/>
      <c r="Y30" s="595"/>
      <c r="Z30" s="604"/>
      <c r="AA30" s="605"/>
      <c r="AB30" s="605"/>
      <c r="AC30" s="606"/>
      <c r="AD30" s="607"/>
      <c r="AE30" s="608"/>
      <c r="AF30" s="608"/>
      <c r="AG30" s="440"/>
      <c r="AH30" s="440"/>
      <c r="AI30" s="440"/>
      <c r="AJ30" s="584"/>
      <c r="AK30" s="609"/>
      <c r="AL30" s="441"/>
      <c r="AM30" s="607"/>
      <c r="AN30" s="608"/>
      <c r="AO30" s="608"/>
      <c r="AP30" s="440"/>
      <c r="AQ30" s="609"/>
    </row>
    <row r="31" spans="1:43" ht="24" x14ac:dyDescent="0.2">
      <c r="A31" s="602"/>
      <c r="B31" s="603" t="s">
        <v>419</v>
      </c>
      <c r="C31" s="593"/>
      <c r="D31" s="594"/>
      <c r="E31" s="594"/>
      <c r="F31" s="594"/>
      <c r="G31" s="594"/>
      <c r="H31" s="594"/>
      <c r="I31" s="594"/>
      <c r="J31" s="594"/>
      <c r="K31" s="594"/>
      <c r="L31" s="594"/>
      <c r="M31" s="594"/>
      <c r="N31" s="595"/>
      <c r="O31" s="594"/>
      <c r="P31" s="594"/>
      <c r="Q31" s="594"/>
      <c r="R31" s="594"/>
      <c r="S31" s="594"/>
      <c r="T31" s="594"/>
      <c r="U31" s="594"/>
      <c r="V31" s="594"/>
      <c r="W31" s="594"/>
      <c r="X31" s="594"/>
      <c r="Y31" s="595"/>
      <c r="Z31" s="604"/>
      <c r="AA31" s="605"/>
      <c r="AB31" s="605"/>
      <c r="AC31" s="606"/>
      <c r="AD31" s="607"/>
      <c r="AE31" s="608"/>
      <c r="AF31" s="608"/>
      <c r="AG31" s="440"/>
      <c r="AH31" s="440"/>
      <c r="AI31" s="440"/>
      <c r="AJ31" s="584"/>
      <c r="AK31" s="609"/>
      <c r="AL31" s="441"/>
      <c r="AM31" s="607"/>
      <c r="AN31" s="608"/>
      <c r="AO31" s="608"/>
      <c r="AP31" s="440"/>
      <c r="AQ31" s="609"/>
    </row>
    <row r="32" spans="1:43" ht="24" x14ac:dyDescent="0.2">
      <c r="A32" s="602"/>
      <c r="B32" s="603" t="s">
        <v>464</v>
      </c>
      <c r="C32" s="593"/>
      <c r="D32" s="594"/>
      <c r="E32" s="594"/>
      <c r="F32" s="594"/>
      <c r="G32" s="594"/>
      <c r="H32" s="594"/>
      <c r="I32" s="594"/>
      <c r="J32" s="594"/>
      <c r="K32" s="594"/>
      <c r="L32" s="594"/>
      <c r="M32" s="594"/>
      <c r="N32" s="595"/>
      <c r="O32" s="594"/>
      <c r="P32" s="594"/>
      <c r="Q32" s="594"/>
      <c r="R32" s="594"/>
      <c r="S32" s="594"/>
      <c r="T32" s="594"/>
      <c r="U32" s="594"/>
      <c r="V32" s="594"/>
      <c r="W32" s="594"/>
      <c r="X32" s="594"/>
      <c r="Y32" s="595"/>
      <c r="Z32" s="604"/>
      <c r="AA32" s="605"/>
      <c r="AB32" s="605"/>
      <c r="AC32" s="606"/>
      <c r="AD32" s="607"/>
      <c r="AE32" s="608"/>
      <c r="AF32" s="608"/>
      <c r="AG32" s="440"/>
      <c r="AH32" s="440"/>
      <c r="AI32" s="440"/>
      <c r="AJ32" s="584"/>
      <c r="AK32" s="609"/>
      <c r="AL32" s="441"/>
      <c r="AM32" s="607"/>
      <c r="AN32" s="608"/>
      <c r="AO32" s="608"/>
      <c r="AP32" s="440"/>
      <c r="AQ32" s="609"/>
    </row>
    <row r="33" spans="1:43" ht="48" x14ac:dyDescent="0.2">
      <c r="A33" s="602"/>
      <c r="B33" s="603" t="s">
        <v>392</v>
      </c>
      <c r="C33" s="593"/>
      <c r="D33" s="594"/>
      <c r="E33" s="594"/>
      <c r="F33" s="594"/>
      <c r="G33" s="594"/>
      <c r="H33" s="594"/>
      <c r="I33" s="594"/>
      <c r="J33" s="594"/>
      <c r="K33" s="594"/>
      <c r="L33" s="594"/>
      <c r="M33" s="594"/>
      <c r="N33" s="595"/>
      <c r="O33" s="594"/>
      <c r="P33" s="594"/>
      <c r="Q33" s="594"/>
      <c r="R33" s="594"/>
      <c r="S33" s="594"/>
      <c r="T33" s="594"/>
      <c r="U33" s="594"/>
      <c r="V33" s="594"/>
      <c r="W33" s="594"/>
      <c r="X33" s="594"/>
      <c r="Y33" s="595"/>
      <c r="Z33" s="604"/>
      <c r="AA33" s="605"/>
      <c r="AB33" s="605"/>
      <c r="AC33" s="606"/>
      <c r="AD33" s="607"/>
      <c r="AE33" s="608"/>
      <c r="AF33" s="608"/>
      <c r="AG33" s="440"/>
      <c r="AH33" s="440"/>
      <c r="AI33" s="440"/>
      <c r="AJ33" s="584"/>
      <c r="AK33" s="609"/>
      <c r="AL33" s="441"/>
      <c r="AM33" s="607"/>
      <c r="AN33" s="608"/>
      <c r="AO33" s="608"/>
      <c r="AP33" s="440"/>
      <c r="AQ33" s="609"/>
    </row>
    <row r="34" spans="1:43" ht="24" x14ac:dyDescent="0.2">
      <c r="A34" s="602"/>
      <c r="B34" s="603" t="s">
        <v>465</v>
      </c>
      <c r="C34" s="593"/>
      <c r="D34" s="594"/>
      <c r="E34" s="594"/>
      <c r="F34" s="594"/>
      <c r="G34" s="594"/>
      <c r="H34" s="594"/>
      <c r="I34" s="594"/>
      <c r="J34" s="594"/>
      <c r="K34" s="594"/>
      <c r="L34" s="594"/>
      <c r="M34" s="594"/>
      <c r="N34" s="595"/>
      <c r="O34" s="594"/>
      <c r="P34" s="594"/>
      <c r="Q34" s="594"/>
      <c r="R34" s="594"/>
      <c r="S34" s="594"/>
      <c r="T34" s="594"/>
      <c r="U34" s="594"/>
      <c r="V34" s="594"/>
      <c r="W34" s="594"/>
      <c r="X34" s="594"/>
      <c r="Y34" s="595"/>
      <c r="Z34" s="604"/>
      <c r="AA34" s="605"/>
      <c r="AB34" s="605"/>
      <c r="AC34" s="606"/>
      <c r="AD34" s="607"/>
      <c r="AE34" s="608"/>
      <c r="AF34" s="608"/>
      <c r="AG34" s="440"/>
      <c r="AH34" s="440"/>
      <c r="AI34" s="440"/>
      <c r="AJ34" s="584"/>
      <c r="AK34" s="609"/>
      <c r="AL34" s="441"/>
      <c r="AM34" s="607"/>
      <c r="AN34" s="608"/>
      <c r="AO34" s="608"/>
      <c r="AP34" s="440"/>
      <c r="AQ34" s="609"/>
    </row>
    <row r="35" spans="1:43" ht="60" x14ac:dyDescent="0.2">
      <c r="A35" s="602"/>
      <c r="B35" s="603" t="s">
        <v>466</v>
      </c>
      <c r="C35" s="593"/>
      <c r="D35" s="594"/>
      <c r="E35" s="594"/>
      <c r="F35" s="594"/>
      <c r="G35" s="594"/>
      <c r="H35" s="594"/>
      <c r="I35" s="594"/>
      <c r="J35" s="594"/>
      <c r="K35" s="594"/>
      <c r="L35" s="594"/>
      <c r="M35" s="594"/>
      <c r="N35" s="595"/>
      <c r="O35" s="594"/>
      <c r="P35" s="594"/>
      <c r="Q35" s="594"/>
      <c r="R35" s="594"/>
      <c r="S35" s="594"/>
      <c r="T35" s="594"/>
      <c r="U35" s="594"/>
      <c r="V35" s="594"/>
      <c r="W35" s="594"/>
      <c r="X35" s="594"/>
      <c r="Y35" s="595"/>
      <c r="Z35" s="604"/>
      <c r="AA35" s="605"/>
      <c r="AB35" s="605"/>
      <c r="AC35" s="606"/>
      <c r="AD35" s="607"/>
      <c r="AE35" s="608"/>
      <c r="AF35" s="608"/>
      <c r="AG35" s="440"/>
      <c r="AH35" s="440"/>
      <c r="AI35" s="440"/>
      <c r="AJ35" s="584"/>
      <c r="AK35" s="609"/>
      <c r="AL35" s="441"/>
      <c r="AM35" s="607"/>
      <c r="AN35" s="608"/>
      <c r="AO35" s="608"/>
      <c r="AP35" s="440"/>
      <c r="AQ35" s="609"/>
    </row>
    <row r="36" spans="1:43" x14ac:dyDescent="0.2">
      <c r="A36" s="602"/>
      <c r="B36" s="603" t="s">
        <v>468</v>
      </c>
      <c r="C36" s="593"/>
      <c r="D36" s="594"/>
      <c r="E36" s="594"/>
      <c r="F36" s="594"/>
      <c r="G36" s="594"/>
      <c r="H36" s="594"/>
      <c r="I36" s="594"/>
      <c r="J36" s="594"/>
      <c r="K36" s="594"/>
      <c r="L36" s="594"/>
      <c r="M36" s="594"/>
      <c r="N36" s="595"/>
      <c r="O36" s="594"/>
      <c r="P36" s="594"/>
      <c r="Q36" s="594"/>
      <c r="R36" s="594"/>
      <c r="S36" s="594"/>
      <c r="T36" s="594"/>
      <c r="U36" s="594"/>
      <c r="V36" s="594"/>
      <c r="W36" s="594"/>
      <c r="X36" s="594"/>
      <c r="Y36" s="595"/>
      <c r="Z36" s="604"/>
      <c r="AA36" s="605"/>
      <c r="AB36" s="605"/>
      <c r="AC36" s="606"/>
      <c r="AD36" s="607"/>
      <c r="AE36" s="608"/>
      <c r="AF36" s="608"/>
      <c r="AG36" s="440"/>
      <c r="AH36" s="440"/>
      <c r="AI36" s="440"/>
      <c r="AJ36" s="584"/>
      <c r="AK36" s="609"/>
      <c r="AL36" s="441"/>
      <c r="AM36" s="607"/>
      <c r="AN36" s="608"/>
      <c r="AO36" s="608"/>
      <c r="AP36" s="440"/>
      <c r="AQ36" s="609"/>
    </row>
    <row r="37" spans="1:43" ht="36" x14ac:dyDescent="0.2">
      <c r="A37" s="602"/>
      <c r="B37" s="603" t="s">
        <v>467</v>
      </c>
      <c r="C37" s="593"/>
      <c r="D37" s="594"/>
      <c r="E37" s="594"/>
      <c r="F37" s="594"/>
      <c r="G37" s="594"/>
      <c r="H37" s="594"/>
      <c r="I37" s="594"/>
      <c r="J37" s="594"/>
      <c r="K37" s="594"/>
      <c r="L37" s="594"/>
      <c r="M37" s="594"/>
      <c r="N37" s="595"/>
      <c r="O37" s="594"/>
      <c r="P37" s="594"/>
      <c r="Q37" s="594"/>
      <c r="R37" s="594"/>
      <c r="S37" s="594"/>
      <c r="T37" s="594"/>
      <c r="U37" s="594"/>
      <c r="V37" s="594"/>
      <c r="W37" s="594"/>
      <c r="X37" s="594"/>
      <c r="Y37" s="595"/>
      <c r="Z37" s="604"/>
      <c r="AA37" s="605"/>
      <c r="AB37" s="605"/>
      <c r="AC37" s="606"/>
      <c r="AD37" s="607"/>
      <c r="AE37" s="608"/>
      <c r="AF37" s="608"/>
      <c r="AG37" s="440"/>
      <c r="AH37" s="440"/>
      <c r="AI37" s="440"/>
      <c r="AJ37" s="584"/>
      <c r="AK37" s="609"/>
      <c r="AL37" s="441"/>
      <c r="AM37" s="607"/>
      <c r="AN37" s="608"/>
      <c r="AO37" s="608"/>
      <c r="AP37" s="440"/>
      <c r="AQ37" s="609"/>
    </row>
    <row r="38" spans="1:43" x14ac:dyDescent="0.2">
      <c r="A38" s="602"/>
      <c r="B38" s="603" t="s">
        <v>393</v>
      </c>
      <c r="C38" s="593"/>
      <c r="D38" s="594"/>
      <c r="E38" s="594"/>
      <c r="F38" s="594"/>
      <c r="G38" s="594"/>
      <c r="H38" s="594"/>
      <c r="I38" s="594"/>
      <c r="J38" s="594"/>
      <c r="K38" s="594"/>
      <c r="L38" s="594"/>
      <c r="M38" s="594"/>
      <c r="N38" s="595"/>
      <c r="O38" s="594"/>
      <c r="P38" s="594"/>
      <c r="Q38" s="594"/>
      <c r="R38" s="594"/>
      <c r="S38" s="594"/>
      <c r="T38" s="594"/>
      <c r="U38" s="594"/>
      <c r="V38" s="594"/>
      <c r="W38" s="594"/>
      <c r="X38" s="594"/>
      <c r="Y38" s="595"/>
      <c r="Z38" s="604"/>
      <c r="AA38" s="605"/>
      <c r="AB38" s="605"/>
      <c r="AC38" s="606"/>
      <c r="AD38" s="607"/>
      <c r="AE38" s="608"/>
      <c r="AF38" s="608"/>
      <c r="AG38" s="440"/>
      <c r="AH38" s="440"/>
      <c r="AI38" s="440"/>
      <c r="AJ38" s="584"/>
      <c r="AK38" s="609"/>
      <c r="AL38" s="441"/>
      <c r="AM38" s="607"/>
      <c r="AN38" s="608"/>
      <c r="AO38" s="608"/>
      <c r="AP38" s="440"/>
      <c r="AQ38" s="609"/>
    </row>
    <row r="39" spans="1:43" x14ac:dyDescent="0.2">
      <c r="A39" s="602"/>
      <c r="B39" s="603" t="s">
        <v>420</v>
      </c>
      <c r="C39" s="593"/>
      <c r="D39" s="594"/>
      <c r="E39" s="594"/>
      <c r="F39" s="594"/>
      <c r="G39" s="594"/>
      <c r="H39" s="594"/>
      <c r="I39" s="594"/>
      <c r="J39" s="594"/>
      <c r="K39" s="594"/>
      <c r="L39" s="594"/>
      <c r="M39" s="594"/>
      <c r="N39" s="595"/>
      <c r="O39" s="594"/>
      <c r="P39" s="594"/>
      <c r="Q39" s="594"/>
      <c r="R39" s="594"/>
      <c r="S39" s="594"/>
      <c r="T39" s="594"/>
      <c r="U39" s="594"/>
      <c r="V39" s="594"/>
      <c r="W39" s="594"/>
      <c r="X39" s="594"/>
      <c r="Y39" s="595"/>
      <c r="Z39" s="604"/>
      <c r="AA39" s="605"/>
      <c r="AB39" s="605"/>
      <c r="AC39" s="606"/>
      <c r="AD39" s="607"/>
      <c r="AE39" s="608"/>
      <c r="AF39" s="608"/>
      <c r="AG39" s="440"/>
      <c r="AH39" s="440"/>
      <c r="AI39" s="440"/>
      <c r="AJ39" s="584"/>
      <c r="AK39" s="609"/>
      <c r="AL39" s="441"/>
      <c r="AM39" s="607"/>
      <c r="AN39" s="608"/>
      <c r="AO39" s="608"/>
      <c r="AP39" s="440"/>
      <c r="AQ39" s="609"/>
    </row>
    <row r="40" spans="1:43" x14ac:dyDescent="0.2">
      <c r="A40" s="602"/>
      <c r="B40" s="603" t="s">
        <v>394</v>
      </c>
      <c r="C40" s="593"/>
      <c r="D40" s="594"/>
      <c r="E40" s="594"/>
      <c r="F40" s="594"/>
      <c r="G40" s="594"/>
      <c r="H40" s="594"/>
      <c r="I40" s="594"/>
      <c r="J40" s="594"/>
      <c r="K40" s="594"/>
      <c r="L40" s="594"/>
      <c r="M40" s="594"/>
      <c r="N40" s="595"/>
      <c r="O40" s="594"/>
      <c r="P40" s="594"/>
      <c r="Q40" s="594"/>
      <c r="R40" s="594"/>
      <c r="S40" s="594"/>
      <c r="T40" s="594"/>
      <c r="U40" s="594"/>
      <c r="V40" s="594"/>
      <c r="W40" s="594"/>
      <c r="X40" s="594"/>
      <c r="Y40" s="595"/>
      <c r="Z40" s="604"/>
      <c r="AA40" s="605"/>
      <c r="AB40" s="605"/>
      <c r="AC40" s="606"/>
      <c r="AD40" s="607"/>
      <c r="AE40" s="608"/>
      <c r="AF40" s="608"/>
      <c r="AG40" s="440"/>
      <c r="AH40" s="440"/>
      <c r="AI40" s="440"/>
      <c r="AJ40" s="584"/>
      <c r="AK40" s="609"/>
      <c r="AL40" s="441"/>
      <c r="AM40" s="607"/>
      <c r="AN40" s="608"/>
      <c r="AO40" s="608"/>
      <c r="AP40" s="440"/>
      <c r="AQ40" s="609"/>
    </row>
    <row r="41" spans="1:43" x14ac:dyDescent="0.2">
      <c r="A41" s="602"/>
      <c r="B41" s="603" t="s">
        <v>421</v>
      </c>
      <c r="C41" s="593"/>
      <c r="D41" s="594"/>
      <c r="E41" s="594"/>
      <c r="F41" s="594"/>
      <c r="G41" s="594"/>
      <c r="H41" s="594"/>
      <c r="I41" s="594"/>
      <c r="J41" s="594"/>
      <c r="K41" s="594"/>
      <c r="L41" s="594"/>
      <c r="M41" s="594"/>
      <c r="N41" s="595"/>
      <c r="O41" s="594"/>
      <c r="P41" s="594"/>
      <c r="Q41" s="594"/>
      <c r="R41" s="594"/>
      <c r="S41" s="594"/>
      <c r="T41" s="594"/>
      <c r="U41" s="594"/>
      <c r="V41" s="594"/>
      <c r="W41" s="594"/>
      <c r="X41" s="594"/>
      <c r="Y41" s="595"/>
      <c r="Z41" s="604"/>
      <c r="AA41" s="605"/>
      <c r="AB41" s="605"/>
      <c r="AC41" s="606"/>
      <c r="AD41" s="607"/>
      <c r="AE41" s="608"/>
      <c r="AF41" s="608"/>
      <c r="AG41" s="440"/>
      <c r="AH41" s="440"/>
      <c r="AI41" s="440"/>
      <c r="AJ41" s="584"/>
      <c r="AK41" s="609"/>
      <c r="AL41" s="441"/>
      <c r="AM41" s="607"/>
      <c r="AN41" s="608"/>
      <c r="AO41" s="608"/>
      <c r="AP41" s="440"/>
      <c r="AQ41" s="609"/>
    </row>
    <row r="42" spans="1:43" x14ac:dyDescent="0.2">
      <c r="A42" s="602"/>
      <c r="B42" s="603" t="s">
        <v>394</v>
      </c>
      <c r="C42" s="593"/>
      <c r="D42" s="594"/>
      <c r="E42" s="594"/>
      <c r="F42" s="594"/>
      <c r="G42" s="594"/>
      <c r="H42" s="594"/>
      <c r="I42" s="594"/>
      <c r="J42" s="594"/>
      <c r="K42" s="594"/>
      <c r="L42" s="594"/>
      <c r="M42" s="594"/>
      <c r="N42" s="595"/>
      <c r="O42" s="594"/>
      <c r="P42" s="594"/>
      <c r="Q42" s="594"/>
      <c r="R42" s="594"/>
      <c r="S42" s="594"/>
      <c r="T42" s="594"/>
      <c r="U42" s="594"/>
      <c r="V42" s="594"/>
      <c r="W42" s="594"/>
      <c r="X42" s="594"/>
      <c r="Y42" s="595"/>
      <c r="Z42" s="604"/>
      <c r="AA42" s="605"/>
      <c r="AB42" s="605"/>
      <c r="AC42" s="606"/>
      <c r="AD42" s="607"/>
      <c r="AE42" s="608"/>
      <c r="AF42" s="608"/>
      <c r="AG42" s="440"/>
      <c r="AH42" s="440"/>
      <c r="AI42" s="440"/>
      <c r="AJ42" s="584"/>
      <c r="AK42" s="609"/>
      <c r="AL42" s="441"/>
      <c r="AM42" s="607"/>
      <c r="AN42" s="608"/>
      <c r="AO42" s="608"/>
      <c r="AP42" s="440"/>
      <c r="AQ42" s="609"/>
    </row>
    <row r="43" spans="1:43" x14ac:dyDescent="0.2">
      <c r="A43" s="602"/>
      <c r="B43" s="603" t="s">
        <v>422</v>
      </c>
      <c r="C43" s="593"/>
      <c r="D43" s="594"/>
      <c r="E43" s="594"/>
      <c r="F43" s="594"/>
      <c r="G43" s="594"/>
      <c r="H43" s="594"/>
      <c r="I43" s="594"/>
      <c r="J43" s="594"/>
      <c r="K43" s="594"/>
      <c r="L43" s="594"/>
      <c r="M43" s="594"/>
      <c r="N43" s="595"/>
      <c r="O43" s="594"/>
      <c r="P43" s="594"/>
      <c r="Q43" s="594"/>
      <c r="R43" s="594"/>
      <c r="S43" s="594"/>
      <c r="T43" s="594"/>
      <c r="U43" s="594"/>
      <c r="V43" s="594"/>
      <c r="W43" s="594"/>
      <c r="X43" s="594"/>
      <c r="Y43" s="595"/>
      <c r="Z43" s="604"/>
      <c r="AA43" s="605"/>
      <c r="AB43" s="605"/>
      <c r="AC43" s="606"/>
      <c r="AD43" s="607"/>
      <c r="AE43" s="608"/>
      <c r="AF43" s="608"/>
      <c r="AG43" s="440"/>
      <c r="AH43" s="440"/>
      <c r="AI43" s="440"/>
      <c r="AJ43" s="584"/>
      <c r="AK43" s="609"/>
      <c r="AL43" s="441"/>
      <c r="AM43" s="607"/>
      <c r="AN43" s="608"/>
      <c r="AO43" s="608"/>
      <c r="AP43" s="440"/>
      <c r="AQ43" s="609"/>
    </row>
    <row r="44" spans="1:43" x14ac:dyDescent="0.2">
      <c r="A44" s="602"/>
      <c r="B44" s="603" t="s">
        <v>394</v>
      </c>
      <c r="C44" s="593"/>
      <c r="D44" s="594"/>
      <c r="E44" s="594"/>
      <c r="F44" s="594"/>
      <c r="G44" s="594"/>
      <c r="H44" s="594"/>
      <c r="I44" s="594"/>
      <c r="J44" s="594"/>
      <c r="K44" s="594"/>
      <c r="L44" s="594"/>
      <c r="M44" s="594"/>
      <c r="N44" s="595"/>
      <c r="O44" s="594"/>
      <c r="P44" s="594"/>
      <c r="Q44" s="594"/>
      <c r="R44" s="594"/>
      <c r="S44" s="594"/>
      <c r="T44" s="594"/>
      <c r="U44" s="594"/>
      <c r="V44" s="594"/>
      <c r="W44" s="594"/>
      <c r="X44" s="594"/>
      <c r="Y44" s="595"/>
      <c r="Z44" s="604"/>
      <c r="AA44" s="605"/>
      <c r="AB44" s="605"/>
      <c r="AC44" s="606"/>
      <c r="AD44" s="607"/>
      <c r="AE44" s="608"/>
      <c r="AF44" s="608"/>
      <c r="AG44" s="440"/>
      <c r="AH44" s="440"/>
      <c r="AI44" s="440"/>
      <c r="AJ44" s="584"/>
      <c r="AK44" s="609"/>
      <c r="AL44" s="441"/>
      <c r="AM44" s="607"/>
      <c r="AN44" s="608"/>
      <c r="AO44" s="608"/>
      <c r="AP44" s="440"/>
      <c r="AQ44" s="609"/>
    </row>
    <row r="45" spans="1:43" x14ac:dyDescent="0.2">
      <c r="A45" s="602"/>
      <c r="B45" s="603" t="s">
        <v>395</v>
      </c>
      <c r="C45" s="593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5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5"/>
      <c r="Z45" s="604"/>
      <c r="AA45" s="605"/>
      <c r="AB45" s="605"/>
      <c r="AC45" s="606"/>
      <c r="AD45" s="607"/>
      <c r="AE45" s="608"/>
      <c r="AF45" s="608"/>
      <c r="AG45" s="440"/>
      <c r="AH45" s="440"/>
      <c r="AI45" s="440"/>
      <c r="AJ45" s="584"/>
      <c r="AK45" s="609"/>
      <c r="AL45" s="441"/>
      <c r="AM45" s="607"/>
      <c r="AN45" s="608"/>
      <c r="AO45" s="608"/>
      <c r="AP45" s="440"/>
      <c r="AQ45" s="609"/>
    </row>
    <row r="46" spans="1:43" x14ac:dyDescent="0.2">
      <c r="A46" s="602"/>
      <c r="B46" s="603" t="s">
        <v>396</v>
      </c>
      <c r="C46" s="593"/>
      <c r="D46" s="594"/>
      <c r="E46" s="594"/>
      <c r="F46" s="594"/>
      <c r="G46" s="594"/>
      <c r="H46" s="594"/>
      <c r="I46" s="594"/>
      <c r="J46" s="594"/>
      <c r="K46" s="594"/>
      <c r="L46" s="594"/>
      <c r="M46" s="594"/>
      <c r="N46" s="595"/>
      <c r="O46" s="594"/>
      <c r="P46" s="594"/>
      <c r="Q46" s="594"/>
      <c r="R46" s="594"/>
      <c r="S46" s="594"/>
      <c r="T46" s="594"/>
      <c r="U46" s="594"/>
      <c r="V46" s="594"/>
      <c r="W46" s="594"/>
      <c r="X46" s="594"/>
      <c r="Y46" s="595"/>
      <c r="Z46" s="604"/>
      <c r="AA46" s="605"/>
      <c r="AB46" s="605"/>
      <c r="AC46" s="606"/>
      <c r="AD46" s="607"/>
      <c r="AE46" s="608"/>
      <c r="AF46" s="608"/>
      <c r="AG46" s="440"/>
      <c r="AH46" s="440"/>
      <c r="AI46" s="440"/>
      <c r="AJ46" s="584"/>
      <c r="AK46" s="609"/>
      <c r="AL46" s="441"/>
      <c r="AM46" s="607"/>
      <c r="AN46" s="608"/>
      <c r="AO46" s="608"/>
      <c r="AP46" s="440"/>
      <c r="AQ46" s="609"/>
    </row>
    <row r="47" spans="1:43" x14ac:dyDescent="0.2">
      <c r="A47" s="602"/>
      <c r="B47" s="603" t="s">
        <v>394</v>
      </c>
      <c r="C47" s="593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5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5"/>
      <c r="Z47" s="604"/>
      <c r="AA47" s="605"/>
      <c r="AB47" s="605"/>
      <c r="AC47" s="606"/>
      <c r="AD47" s="607"/>
      <c r="AE47" s="608"/>
      <c r="AF47" s="608"/>
      <c r="AG47" s="440"/>
      <c r="AH47" s="440"/>
      <c r="AI47" s="440"/>
      <c r="AJ47" s="584"/>
      <c r="AK47" s="609"/>
      <c r="AL47" s="441"/>
      <c r="AM47" s="607"/>
      <c r="AN47" s="608"/>
      <c r="AO47" s="608"/>
      <c r="AP47" s="440"/>
      <c r="AQ47" s="609"/>
    </row>
    <row r="48" spans="1:43" x14ac:dyDescent="0.2">
      <c r="A48" s="602"/>
      <c r="B48" s="603" t="s">
        <v>397</v>
      </c>
      <c r="C48" s="593"/>
      <c r="D48" s="594"/>
      <c r="E48" s="594"/>
      <c r="F48" s="594"/>
      <c r="G48" s="594"/>
      <c r="H48" s="594"/>
      <c r="I48" s="594"/>
      <c r="J48" s="594"/>
      <c r="K48" s="594"/>
      <c r="L48" s="594"/>
      <c r="M48" s="594"/>
      <c r="N48" s="595"/>
      <c r="O48" s="594"/>
      <c r="P48" s="594"/>
      <c r="Q48" s="594"/>
      <c r="R48" s="594"/>
      <c r="S48" s="594"/>
      <c r="T48" s="594"/>
      <c r="U48" s="594"/>
      <c r="V48" s="594"/>
      <c r="W48" s="594"/>
      <c r="X48" s="594"/>
      <c r="Y48" s="595"/>
      <c r="Z48" s="604"/>
      <c r="AA48" s="605"/>
      <c r="AB48" s="605"/>
      <c r="AC48" s="606"/>
      <c r="AD48" s="607"/>
      <c r="AE48" s="608"/>
      <c r="AF48" s="608"/>
      <c r="AG48" s="440"/>
      <c r="AH48" s="440"/>
      <c r="AI48" s="440"/>
      <c r="AJ48" s="584"/>
      <c r="AK48" s="609"/>
      <c r="AL48" s="441"/>
      <c r="AM48" s="607"/>
      <c r="AN48" s="608"/>
      <c r="AO48" s="608"/>
      <c r="AP48" s="440"/>
      <c r="AQ48" s="609"/>
    </row>
    <row r="49" spans="1:43" x14ac:dyDescent="0.2">
      <c r="A49" s="602"/>
      <c r="B49" s="603" t="s">
        <v>394</v>
      </c>
      <c r="C49" s="593"/>
      <c r="D49" s="594"/>
      <c r="E49" s="594"/>
      <c r="F49" s="594"/>
      <c r="G49" s="594"/>
      <c r="H49" s="594"/>
      <c r="I49" s="594"/>
      <c r="J49" s="594"/>
      <c r="K49" s="594"/>
      <c r="L49" s="594"/>
      <c r="M49" s="594"/>
      <c r="N49" s="595"/>
      <c r="O49" s="594"/>
      <c r="P49" s="594"/>
      <c r="Q49" s="594"/>
      <c r="R49" s="594"/>
      <c r="S49" s="594"/>
      <c r="T49" s="594"/>
      <c r="U49" s="594"/>
      <c r="V49" s="594"/>
      <c r="W49" s="594"/>
      <c r="X49" s="594"/>
      <c r="Y49" s="595"/>
      <c r="Z49" s="604"/>
      <c r="AA49" s="605"/>
      <c r="AB49" s="605"/>
      <c r="AC49" s="606"/>
      <c r="AD49" s="607"/>
      <c r="AE49" s="608"/>
      <c r="AF49" s="608"/>
      <c r="AG49" s="440"/>
      <c r="AH49" s="440"/>
      <c r="AI49" s="440"/>
      <c r="AJ49" s="584"/>
      <c r="AK49" s="609"/>
      <c r="AL49" s="441"/>
      <c r="AM49" s="607"/>
      <c r="AN49" s="608"/>
      <c r="AO49" s="608"/>
      <c r="AP49" s="440"/>
      <c r="AQ49" s="609"/>
    </row>
    <row r="50" spans="1:43" x14ac:dyDescent="0.2">
      <c r="A50" s="602"/>
      <c r="B50" s="603" t="s">
        <v>423</v>
      </c>
      <c r="C50" s="593"/>
      <c r="D50" s="594"/>
      <c r="E50" s="594"/>
      <c r="F50" s="594"/>
      <c r="G50" s="594"/>
      <c r="H50" s="594"/>
      <c r="I50" s="594"/>
      <c r="J50" s="594"/>
      <c r="K50" s="594"/>
      <c r="L50" s="594"/>
      <c r="M50" s="594"/>
      <c r="N50" s="595"/>
      <c r="O50" s="594"/>
      <c r="P50" s="594"/>
      <c r="Q50" s="594"/>
      <c r="R50" s="594"/>
      <c r="S50" s="594"/>
      <c r="T50" s="594"/>
      <c r="U50" s="594"/>
      <c r="V50" s="594"/>
      <c r="W50" s="594"/>
      <c r="X50" s="594"/>
      <c r="Y50" s="595"/>
      <c r="Z50" s="604"/>
      <c r="AA50" s="605"/>
      <c r="AB50" s="605"/>
      <c r="AC50" s="606"/>
      <c r="AD50" s="607"/>
      <c r="AE50" s="608"/>
      <c r="AF50" s="608"/>
      <c r="AG50" s="440"/>
      <c r="AH50" s="440"/>
      <c r="AI50" s="440"/>
      <c r="AJ50" s="584"/>
      <c r="AK50" s="609"/>
      <c r="AL50" s="441"/>
      <c r="AM50" s="607"/>
      <c r="AN50" s="608"/>
      <c r="AO50" s="608"/>
      <c r="AP50" s="440"/>
      <c r="AQ50" s="609"/>
    </row>
    <row r="51" spans="1:43" x14ac:dyDescent="0.2">
      <c r="A51" s="602"/>
      <c r="B51" s="603" t="s">
        <v>394</v>
      </c>
      <c r="C51" s="593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5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5"/>
      <c r="Z51" s="604"/>
      <c r="AA51" s="605"/>
      <c r="AB51" s="605"/>
      <c r="AC51" s="606"/>
      <c r="AD51" s="607"/>
      <c r="AE51" s="608"/>
      <c r="AF51" s="608"/>
      <c r="AG51" s="440"/>
      <c r="AH51" s="440"/>
      <c r="AI51" s="440"/>
      <c r="AJ51" s="584"/>
      <c r="AK51" s="609"/>
      <c r="AL51" s="441"/>
      <c r="AM51" s="607"/>
      <c r="AN51" s="608"/>
      <c r="AO51" s="608"/>
      <c r="AP51" s="440"/>
      <c r="AQ51" s="609"/>
    </row>
    <row r="52" spans="1:43" x14ac:dyDescent="0.2">
      <c r="A52" s="602"/>
      <c r="B52" s="603" t="s">
        <v>398</v>
      </c>
      <c r="C52" s="593"/>
      <c r="D52" s="594"/>
      <c r="E52" s="594"/>
      <c r="F52" s="594"/>
      <c r="G52" s="594"/>
      <c r="H52" s="594"/>
      <c r="I52" s="594"/>
      <c r="J52" s="594"/>
      <c r="K52" s="594"/>
      <c r="L52" s="594"/>
      <c r="M52" s="594"/>
      <c r="N52" s="595"/>
      <c r="O52" s="594"/>
      <c r="P52" s="594"/>
      <c r="Q52" s="594"/>
      <c r="R52" s="594"/>
      <c r="S52" s="594"/>
      <c r="T52" s="594"/>
      <c r="U52" s="594"/>
      <c r="V52" s="594"/>
      <c r="W52" s="594"/>
      <c r="X52" s="594"/>
      <c r="Y52" s="595"/>
      <c r="Z52" s="604"/>
      <c r="AA52" s="605"/>
      <c r="AB52" s="605"/>
      <c r="AC52" s="606"/>
      <c r="AD52" s="607"/>
      <c r="AE52" s="608"/>
      <c r="AF52" s="608"/>
      <c r="AG52" s="440"/>
      <c r="AH52" s="440"/>
      <c r="AI52" s="440"/>
      <c r="AJ52" s="584"/>
      <c r="AK52" s="609"/>
      <c r="AL52" s="441"/>
      <c r="AM52" s="607"/>
      <c r="AN52" s="608"/>
      <c r="AO52" s="608"/>
      <c r="AP52" s="440"/>
      <c r="AQ52" s="609"/>
    </row>
    <row r="53" spans="1:43" x14ac:dyDescent="0.2">
      <c r="A53" s="602"/>
      <c r="B53" s="603" t="s">
        <v>399</v>
      </c>
      <c r="C53" s="593"/>
      <c r="D53" s="594"/>
      <c r="E53" s="594"/>
      <c r="F53" s="594"/>
      <c r="G53" s="594"/>
      <c r="H53" s="594"/>
      <c r="I53" s="594"/>
      <c r="J53" s="594"/>
      <c r="K53" s="594"/>
      <c r="L53" s="594"/>
      <c r="M53" s="594"/>
      <c r="N53" s="595"/>
      <c r="O53" s="594"/>
      <c r="P53" s="594"/>
      <c r="Q53" s="594"/>
      <c r="R53" s="594"/>
      <c r="S53" s="594"/>
      <c r="T53" s="594"/>
      <c r="U53" s="594"/>
      <c r="V53" s="594"/>
      <c r="W53" s="594"/>
      <c r="X53" s="594"/>
      <c r="Y53" s="595"/>
      <c r="Z53" s="604"/>
      <c r="AA53" s="605"/>
      <c r="AB53" s="605"/>
      <c r="AC53" s="606"/>
      <c r="AD53" s="607"/>
      <c r="AE53" s="608"/>
      <c r="AF53" s="608"/>
      <c r="AG53" s="440"/>
      <c r="AH53" s="440"/>
      <c r="AI53" s="440"/>
      <c r="AJ53" s="584"/>
      <c r="AK53" s="609"/>
      <c r="AL53" s="441"/>
      <c r="AM53" s="607"/>
      <c r="AN53" s="608"/>
      <c r="AO53" s="608"/>
      <c r="AP53" s="440"/>
      <c r="AQ53" s="609"/>
    </row>
    <row r="54" spans="1:43" x14ac:dyDescent="0.2">
      <c r="A54" s="602"/>
      <c r="B54" s="603" t="s">
        <v>400</v>
      </c>
      <c r="C54" s="593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5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5"/>
      <c r="Z54" s="604"/>
      <c r="AA54" s="605"/>
      <c r="AB54" s="605"/>
      <c r="AC54" s="606"/>
      <c r="AD54" s="607"/>
      <c r="AE54" s="608"/>
      <c r="AF54" s="608"/>
      <c r="AG54" s="440"/>
      <c r="AH54" s="440"/>
      <c r="AI54" s="440"/>
      <c r="AJ54" s="584"/>
      <c r="AK54" s="609"/>
      <c r="AL54" s="441"/>
      <c r="AM54" s="607"/>
      <c r="AN54" s="608"/>
      <c r="AO54" s="608"/>
      <c r="AP54" s="440"/>
      <c r="AQ54" s="609"/>
    </row>
    <row r="55" spans="1:43" x14ac:dyDescent="0.2">
      <c r="A55" s="602"/>
      <c r="B55" s="603" t="s">
        <v>401</v>
      </c>
      <c r="C55" s="593"/>
      <c r="D55" s="594"/>
      <c r="E55" s="594"/>
      <c r="F55" s="594"/>
      <c r="G55" s="594"/>
      <c r="H55" s="594"/>
      <c r="I55" s="594"/>
      <c r="J55" s="594"/>
      <c r="K55" s="594"/>
      <c r="L55" s="594"/>
      <c r="M55" s="594"/>
      <c r="N55" s="595"/>
      <c r="O55" s="594"/>
      <c r="P55" s="594"/>
      <c r="Q55" s="594"/>
      <c r="R55" s="594"/>
      <c r="S55" s="594"/>
      <c r="T55" s="594"/>
      <c r="U55" s="594"/>
      <c r="V55" s="594"/>
      <c r="W55" s="594"/>
      <c r="X55" s="594"/>
      <c r="Y55" s="595"/>
      <c r="Z55" s="604"/>
      <c r="AA55" s="605"/>
      <c r="AB55" s="605"/>
      <c r="AC55" s="606"/>
      <c r="AD55" s="607"/>
      <c r="AE55" s="608"/>
      <c r="AF55" s="608"/>
      <c r="AG55" s="440"/>
      <c r="AH55" s="440"/>
      <c r="AI55" s="440"/>
      <c r="AJ55" s="584"/>
      <c r="AK55" s="609"/>
      <c r="AL55" s="441"/>
      <c r="AM55" s="607"/>
      <c r="AN55" s="608"/>
      <c r="AO55" s="608"/>
      <c r="AP55" s="440"/>
      <c r="AQ55" s="609"/>
    </row>
    <row r="56" spans="1:43" ht="24" x14ac:dyDescent="0.2">
      <c r="A56" s="602"/>
      <c r="B56" s="603" t="s">
        <v>402</v>
      </c>
      <c r="C56" s="593"/>
      <c r="D56" s="594"/>
      <c r="E56" s="594"/>
      <c r="F56" s="594"/>
      <c r="G56" s="594"/>
      <c r="H56" s="594"/>
      <c r="I56" s="594"/>
      <c r="J56" s="594"/>
      <c r="K56" s="594"/>
      <c r="L56" s="594"/>
      <c r="M56" s="594"/>
      <c r="N56" s="595"/>
      <c r="O56" s="594"/>
      <c r="P56" s="594"/>
      <c r="Q56" s="594"/>
      <c r="R56" s="594"/>
      <c r="S56" s="594"/>
      <c r="T56" s="594"/>
      <c r="U56" s="594"/>
      <c r="V56" s="594"/>
      <c r="W56" s="594"/>
      <c r="X56" s="594"/>
      <c r="Y56" s="595"/>
      <c r="Z56" s="604"/>
      <c r="AA56" s="605"/>
      <c r="AB56" s="605"/>
      <c r="AC56" s="606"/>
      <c r="AD56" s="607"/>
      <c r="AE56" s="608"/>
      <c r="AF56" s="608"/>
      <c r="AG56" s="440"/>
      <c r="AH56" s="440"/>
      <c r="AI56" s="440"/>
      <c r="AJ56" s="584"/>
      <c r="AK56" s="609"/>
      <c r="AL56" s="441"/>
      <c r="AM56" s="607"/>
      <c r="AN56" s="608"/>
      <c r="AO56" s="608"/>
      <c r="AP56" s="440"/>
      <c r="AQ56" s="609"/>
    </row>
    <row r="57" spans="1:43" x14ac:dyDescent="0.2">
      <c r="A57" s="602"/>
      <c r="B57" s="603" t="s">
        <v>403</v>
      </c>
      <c r="C57" s="593"/>
      <c r="D57" s="594"/>
      <c r="E57" s="594"/>
      <c r="F57" s="594"/>
      <c r="G57" s="594"/>
      <c r="H57" s="594"/>
      <c r="I57" s="594"/>
      <c r="J57" s="594"/>
      <c r="K57" s="594"/>
      <c r="L57" s="594"/>
      <c r="M57" s="594"/>
      <c r="N57" s="595"/>
      <c r="O57" s="594"/>
      <c r="P57" s="594"/>
      <c r="Q57" s="594"/>
      <c r="R57" s="594"/>
      <c r="S57" s="594"/>
      <c r="T57" s="594"/>
      <c r="U57" s="594"/>
      <c r="V57" s="594"/>
      <c r="W57" s="594"/>
      <c r="X57" s="594"/>
      <c r="Y57" s="595"/>
      <c r="Z57" s="604"/>
      <c r="AA57" s="605"/>
      <c r="AB57" s="605"/>
      <c r="AC57" s="606"/>
      <c r="AD57" s="607"/>
      <c r="AE57" s="608"/>
      <c r="AF57" s="608"/>
      <c r="AG57" s="440"/>
      <c r="AH57" s="440"/>
      <c r="AI57" s="440"/>
      <c r="AJ57" s="584"/>
      <c r="AK57" s="609"/>
      <c r="AL57" s="441"/>
      <c r="AM57" s="607"/>
      <c r="AN57" s="608"/>
      <c r="AO57" s="608"/>
      <c r="AP57" s="440"/>
      <c r="AQ57" s="609"/>
    </row>
    <row r="58" spans="1:43" ht="24" x14ac:dyDescent="0.2">
      <c r="A58" s="602"/>
      <c r="B58" s="603" t="s">
        <v>404</v>
      </c>
      <c r="C58" s="593"/>
      <c r="D58" s="594"/>
      <c r="E58" s="594"/>
      <c r="F58" s="594"/>
      <c r="G58" s="594"/>
      <c r="H58" s="594"/>
      <c r="I58" s="594"/>
      <c r="J58" s="594"/>
      <c r="K58" s="594"/>
      <c r="L58" s="594"/>
      <c r="M58" s="594"/>
      <c r="N58" s="595"/>
      <c r="O58" s="594"/>
      <c r="P58" s="594"/>
      <c r="Q58" s="594"/>
      <c r="R58" s="594"/>
      <c r="S58" s="594"/>
      <c r="T58" s="594"/>
      <c r="U58" s="594"/>
      <c r="V58" s="594"/>
      <c r="W58" s="594"/>
      <c r="X58" s="594"/>
      <c r="Y58" s="595"/>
      <c r="Z58" s="604"/>
      <c r="AA58" s="605"/>
      <c r="AB58" s="605"/>
      <c r="AC58" s="606"/>
      <c r="AD58" s="607"/>
      <c r="AE58" s="608"/>
      <c r="AF58" s="608"/>
      <c r="AG58" s="440"/>
      <c r="AH58" s="440"/>
      <c r="AI58" s="440"/>
      <c r="AJ58" s="584"/>
      <c r="AK58" s="609"/>
      <c r="AL58" s="441"/>
      <c r="AM58" s="607"/>
      <c r="AN58" s="608"/>
      <c r="AO58" s="608"/>
      <c r="AP58" s="440"/>
      <c r="AQ58" s="609"/>
    </row>
    <row r="59" spans="1:43" ht="24" x14ac:dyDescent="0.2">
      <c r="A59" s="602"/>
      <c r="B59" s="603" t="s">
        <v>424</v>
      </c>
      <c r="C59" s="593"/>
      <c r="D59" s="594"/>
      <c r="E59" s="594"/>
      <c r="F59" s="594"/>
      <c r="G59" s="594"/>
      <c r="H59" s="594"/>
      <c r="I59" s="594"/>
      <c r="J59" s="594"/>
      <c r="K59" s="594"/>
      <c r="L59" s="594"/>
      <c r="M59" s="594"/>
      <c r="N59" s="595"/>
      <c r="O59" s="594"/>
      <c r="P59" s="594"/>
      <c r="Q59" s="594"/>
      <c r="R59" s="594"/>
      <c r="S59" s="594"/>
      <c r="T59" s="594"/>
      <c r="U59" s="594"/>
      <c r="V59" s="594"/>
      <c r="W59" s="594"/>
      <c r="X59" s="594"/>
      <c r="Y59" s="595"/>
      <c r="Z59" s="604"/>
      <c r="AA59" s="605"/>
      <c r="AB59" s="605"/>
      <c r="AC59" s="606"/>
      <c r="AD59" s="607"/>
      <c r="AE59" s="608"/>
      <c r="AF59" s="608"/>
      <c r="AG59" s="440"/>
      <c r="AH59" s="440"/>
      <c r="AI59" s="440"/>
      <c r="AJ59" s="584"/>
      <c r="AK59" s="609"/>
      <c r="AL59" s="441"/>
      <c r="AM59" s="607"/>
      <c r="AN59" s="608"/>
      <c r="AO59" s="608"/>
      <c r="AP59" s="440"/>
      <c r="AQ59" s="609"/>
    </row>
    <row r="60" spans="1:43" x14ac:dyDescent="0.2">
      <c r="A60" s="602"/>
      <c r="B60" s="603" t="s">
        <v>407</v>
      </c>
      <c r="C60" s="593"/>
      <c r="D60" s="594"/>
      <c r="E60" s="594"/>
      <c r="F60" s="594"/>
      <c r="G60" s="594"/>
      <c r="H60" s="594"/>
      <c r="I60" s="594"/>
      <c r="J60" s="594"/>
      <c r="K60" s="594"/>
      <c r="L60" s="594"/>
      <c r="M60" s="594"/>
      <c r="N60" s="595"/>
      <c r="O60" s="594"/>
      <c r="P60" s="594"/>
      <c r="Q60" s="594"/>
      <c r="R60" s="594"/>
      <c r="S60" s="594"/>
      <c r="T60" s="594"/>
      <c r="U60" s="594"/>
      <c r="V60" s="594"/>
      <c r="W60" s="594"/>
      <c r="X60" s="594"/>
      <c r="Y60" s="595"/>
      <c r="Z60" s="604"/>
      <c r="AA60" s="605"/>
      <c r="AB60" s="605"/>
      <c r="AC60" s="606"/>
      <c r="AD60" s="607"/>
      <c r="AE60" s="608"/>
      <c r="AF60" s="608"/>
      <c r="AG60" s="440"/>
      <c r="AH60" s="440"/>
      <c r="AI60" s="440"/>
      <c r="AJ60" s="584"/>
      <c r="AK60" s="609"/>
      <c r="AL60" s="441"/>
      <c r="AM60" s="607"/>
      <c r="AN60" s="608"/>
      <c r="AO60" s="608"/>
      <c r="AP60" s="440"/>
      <c r="AQ60" s="609"/>
    </row>
    <row r="61" spans="1:43" x14ac:dyDescent="0.2">
      <c r="A61" s="602"/>
      <c r="B61" s="603" t="s">
        <v>408</v>
      </c>
      <c r="C61" s="593"/>
      <c r="D61" s="594"/>
      <c r="E61" s="594"/>
      <c r="F61" s="594"/>
      <c r="G61" s="594"/>
      <c r="H61" s="594"/>
      <c r="I61" s="594"/>
      <c r="J61" s="594"/>
      <c r="K61" s="594"/>
      <c r="L61" s="594"/>
      <c r="M61" s="594"/>
      <c r="N61" s="595"/>
      <c r="O61" s="594"/>
      <c r="P61" s="594"/>
      <c r="Q61" s="594"/>
      <c r="R61" s="594"/>
      <c r="S61" s="594"/>
      <c r="T61" s="594"/>
      <c r="U61" s="594"/>
      <c r="V61" s="594"/>
      <c r="W61" s="594"/>
      <c r="X61" s="594"/>
      <c r="Y61" s="595"/>
      <c r="Z61" s="604"/>
      <c r="AA61" s="605"/>
      <c r="AB61" s="605"/>
      <c r="AC61" s="606"/>
      <c r="AD61" s="607"/>
      <c r="AE61" s="608"/>
      <c r="AF61" s="608"/>
      <c r="AG61" s="440"/>
      <c r="AH61" s="440"/>
      <c r="AI61" s="440"/>
      <c r="AJ61" s="584"/>
      <c r="AK61" s="609"/>
      <c r="AL61" s="441"/>
      <c r="AM61" s="607"/>
      <c r="AN61" s="608"/>
      <c r="AO61" s="608"/>
      <c r="AP61" s="440"/>
      <c r="AQ61" s="609"/>
    </row>
    <row r="62" spans="1:43" x14ac:dyDescent="0.2">
      <c r="A62" s="602"/>
      <c r="B62" s="603" t="s">
        <v>409</v>
      </c>
      <c r="C62" s="593"/>
      <c r="D62" s="594"/>
      <c r="E62" s="594"/>
      <c r="F62" s="594"/>
      <c r="G62" s="594"/>
      <c r="H62" s="594"/>
      <c r="I62" s="594"/>
      <c r="J62" s="594"/>
      <c r="K62" s="594"/>
      <c r="L62" s="594"/>
      <c r="M62" s="594"/>
      <c r="N62" s="595"/>
      <c r="O62" s="594"/>
      <c r="P62" s="594"/>
      <c r="Q62" s="594"/>
      <c r="R62" s="594"/>
      <c r="S62" s="594"/>
      <c r="T62" s="594"/>
      <c r="U62" s="594"/>
      <c r="V62" s="594"/>
      <c r="W62" s="594"/>
      <c r="X62" s="594"/>
      <c r="Y62" s="595"/>
      <c r="Z62" s="604"/>
      <c r="AA62" s="605"/>
      <c r="AB62" s="605"/>
      <c r="AC62" s="606"/>
      <c r="AD62" s="607"/>
      <c r="AE62" s="608"/>
      <c r="AF62" s="608"/>
      <c r="AG62" s="440"/>
      <c r="AH62" s="440"/>
      <c r="AI62" s="440"/>
      <c r="AJ62" s="584"/>
      <c r="AK62" s="609"/>
      <c r="AL62" s="441"/>
      <c r="AM62" s="607"/>
      <c r="AN62" s="608"/>
      <c r="AO62" s="608"/>
      <c r="AP62" s="440"/>
      <c r="AQ62" s="609"/>
    </row>
    <row r="63" spans="1:43" x14ac:dyDescent="0.2">
      <c r="A63" s="602"/>
      <c r="B63" s="603" t="s">
        <v>410</v>
      </c>
      <c r="C63" s="593"/>
      <c r="D63" s="594"/>
      <c r="E63" s="594"/>
      <c r="F63" s="594"/>
      <c r="G63" s="594"/>
      <c r="H63" s="594"/>
      <c r="I63" s="594"/>
      <c r="J63" s="594"/>
      <c r="K63" s="594"/>
      <c r="L63" s="594"/>
      <c r="M63" s="594"/>
      <c r="N63" s="595"/>
      <c r="O63" s="594"/>
      <c r="P63" s="594"/>
      <c r="Q63" s="594"/>
      <c r="R63" s="594"/>
      <c r="S63" s="594"/>
      <c r="T63" s="594"/>
      <c r="U63" s="594"/>
      <c r="V63" s="594"/>
      <c r="W63" s="594"/>
      <c r="X63" s="594"/>
      <c r="Y63" s="595"/>
      <c r="Z63" s="604"/>
      <c r="AA63" s="605"/>
      <c r="AB63" s="605"/>
      <c r="AC63" s="606"/>
      <c r="AD63" s="607"/>
      <c r="AE63" s="608"/>
      <c r="AF63" s="608"/>
      <c r="AG63" s="440"/>
      <c r="AH63" s="440"/>
      <c r="AI63" s="440"/>
      <c r="AJ63" s="584"/>
      <c r="AK63" s="609"/>
      <c r="AL63" s="441"/>
      <c r="AM63" s="607"/>
      <c r="AN63" s="608"/>
      <c r="AO63" s="608"/>
      <c r="AP63" s="440"/>
      <c r="AQ63" s="609"/>
    </row>
    <row r="64" spans="1:43" x14ac:dyDescent="0.2">
      <c r="A64" s="602"/>
      <c r="B64" s="603" t="s">
        <v>411</v>
      </c>
      <c r="C64" s="593"/>
      <c r="D64" s="594"/>
      <c r="E64" s="594"/>
      <c r="F64" s="594"/>
      <c r="G64" s="594"/>
      <c r="H64" s="594"/>
      <c r="I64" s="594"/>
      <c r="J64" s="594"/>
      <c r="K64" s="594"/>
      <c r="L64" s="594"/>
      <c r="M64" s="594"/>
      <c r="N64" s="595"/>
      <c r="O64" s="594"/>
      <c r="P64" s="594"/>
      <c r="Q64" s="594"/>
      <c r="R64" s="594"/>
      <c r="S64" s="594"/>
      <c r="T64" s="594"/>
      <c r="U64" s="594"/>
      <c r="V64" s="594"/>
      <c r="W64" s="594"/>
      <c r="X64" s="594"/>
      <c r="Y64" s="595"/>
      <c r="Z64" s="604"/>
      <c r="AA64" s="605"/>
      <c r="AB64" s="605"/>
      <c r="AC64" s="606"/>
      <c r="AD64" s="607"/>
      <c r="AE64" s="608"/>
      <c r="AF64" s="608"/>
      <c r="AG64" s="440"/>
      <c r="AH64" s="440"/>
      <c r="AI64" s="440"/>
      <c r="AJ64" s="584"/>
      <c r="AK64" s="609"/>
      <c r="AL64" s="441"/>
      <c r="AM64" s="607"/>
      <c r="AN64" s="608"/>
      <c r="AO64" s="608"/>
      <c r="AP64" s="440"/>
      <c r="AQ64" s="609"/>
    </row>
    <row r="65" spans="1:43" x14ac:dyDescent="0.2">
      <c r="A65" s="602"/>
      <c r="B65" s="603" t="s">
        <v>412</v>
      </c>
      <c r="C65" s="593"/>
      <c r="D65" s="594"/>
      <c r="E65" s="594"/>
      <c r="F65" s="594"/>
      <c r="G65" s="594"/>
      <c r="H65" s="594"/>
      <c r="I65" s="594"/>
      <c r="J65" s="594"/>
      <c r="K65" s="594"/>
      <c r="L65" s="594"/>
      <c r="M65" s="594"/>
      <c r="N65" s="595"/>
      <c r="O65" s="594"/>
      <c r="P65" s="594"/>
      <c r="Q65" s="594"/>
      <c r="R65" s="594"/>
      <c r="S65" s="594"/>
      <c r="T65" s="594"/>
      <c r="U65" s="594"/>
      <c r="V65" s="594"/>
      <c r="W65" s="594"/>
      <c r="X65" s="594"/>
      <c r="Y65" s="595"/>
      <c r="Z65" s="604"/>
      <c r="AA65" s="605"/>
      <c r="AB65" s="605"/>
      <c r="AC65" s="606"/>
      <c r="AD65" s="607"/>
      <c r="AE65" s="608"/>
      <c r="AF65" s="608"/>
      <c r="AG65" s="440"/>
      <c r="AH65" s="440"/>
      <c r="AI65" s="440"/>
      <c r="AJ65" s="584"/>
      <c r="AK65" s="609"/>
      <c r="AL65" s="441"/>
      <c r="AM65" s="607"/>
      <c r="AN65" s="608"/>
      <c r="AO65" s="608"/>
      <c r="AP65" s="440"/>
      <c r="AQ65" s="609"/>
    </row>
    <row r="66" spans="1:43" x14ac:dyDescent="0.2">
      <c r="A66" s="602"/>
      <c r="B66" s="603" t="s">
        <v>469</v>
      </c>
      <c r="C66" s="593"/>
      <c r="D66" s="594"/>
      <c r="E66" s="594"/>
      <c r="F66" s="594"/>
      <c r="G66" s="594"/>
      <c r="H66" s="594"/>
      <c r="I66" s="594"/>
      <c r="J66" s="594"/>
      <c r="K66" s="594"/>
      <c r="L66" s="594"/>
      <c r="M66" s="594"/>
      <c r="N66" s="595"/>
      <c r="O66" s="594"/>
      <c r="P66" s="594"/>
      <c r="Q66" s="594"/>
      <c r="R66" s="594"/>
      <c r="S66" s="594"/>
      <c r="T66" s="594"/>
      <c r="U66" s="594"/>
      <c r="V66" s="594"/>
      <c r="W66" s="594"/>
      <c r="X66" s="594"/>
      <c r="Y66" s="595"/>
      <c r="Z66" s="604"/>
      <c r="AA66" s="605"/>
      <c r="AB66" s="605"/>
      <c r="AC66" s="606"/>
      <c r="AD66" s="607"/>
      <c r="AE66" s="608"/>
      <c r="AF66" s="608"/>
      <c r="AG66" s="440"/>
      <c r="AH66" s="440"/>
      <c r="AI66" s="440"/>
      <c r="AJ66" s="584"/>
      <c r="AK66" s="609"/>
      <c r="AL66" s="441"/>
      <c r="AM66" s="607"/>
      <c r="AN66" s="608"/>
      <c r="AO66" s="608"/>
      <c r="AP66" s="440"/>
      <c r="AQ66" s="609"/>
    </row>
    <row r="67" spans="1:43" x14ac:dyDescent="0.2">
      <c r="A67" s="602"/>
      <c r="B67" s="603" t="s">
        <v>474</v>
      </c>
      <c r="C67" s="593"/>
      <c r="D67" s="594"/>
      <c r="E67" s="594"/>
      <c r="F67" s="594"/>
      <c r="G67" s="594"/>
      <c r="H67" s="594"/>
      <c r="I67" s="594"/>
      <c r="J67" s="594"/>
      <c r="K67" s="594"/>
      <c r="L67" s="594"/>
      <c r="M67" s="594"/>
      <c r="N67" s="595"/>
      <c r="O67" s="594"/>
      <c r="P67" s="594"/>
      <c r="Q67" s="594"/>
      <c r="R67" s="594"/>
      <c r="S67" s="594"/>
      <c r="T67" s="594"/>
      <c r="U67" s="594"/>
      <c r="V67" s="594"/>
      <c r="W67" s="594"/>
      <c r="X67" s="594"/>
      <c r="Y67" s="595"/>
      <c r="Z67" s="604"/>
      <c r="AA67" s="605"/>
      <c r="AB67" s="605"/>
      <c r="AC67" s="606"/>
      <c r="AD67" s="607"/>
      <c r="AE67" s="608"/>
      <c r="AF67" s="608"/>
      <c r="AG67" s="440"/>
      <c r="AH67" s="440"/>
      <c r="AI67" s="440"/>
      <c r="AJ67" s="584"/>
      <c r="AK67" s="609"/>
      <c r="AL67" s="441"/>
      <c r="AM67" s="607"/>
      <c r="AN67" s="608"/>
      <c r="AO67" s="608"/>
      <c r="AP67" s="440"/>
      <c r="AQ67" s="609"/>
    </row>
    <row r="68" spans="1:43" ht="24" x14ac:dyDescent="0.2">
      <c r="A68" s="602"/>
      <c r="B68" s="603" t="s">
        <v>470</v>
      </c>
      <c r="C68" s="593"/>
      <c r="D68" s="594"/>
      <c r="E68" s="594"/>
      <c r="F68" s="594"/>
      <c r="G68" s="594"/>
      <c r="H68" s="594"/>
      <c r="I68" s="594"/>
      <c r="J68" s="594"/>
      <c r="K68" s="594"/>
      <c r="L68" s="594"/>
      <c r="M68" s="594"/>
      <c r="N68" s="595"/>
      <c r="O68" s="594"/>
      <c r="P68" s="594"/>
      <c r="Q68" s="594"/>
      <c r="R68" s="594"/>
      <c r="S68" s="594"/>
      <c r="T68" s="594"/>
      <c r="U68" s="594"/>
      <c r="V68" s="594"/>
      <c r="W68" s="594"/>
      <c r="X68" s="594"/>
      <c r="Y68" s="595"/>
      <c r="Z68" s="604"/>
      <c r="AA68" s="605"/>
      <c r="AB68" s="605"/>
      <c r="AC68" s="606"/>
      <c r="AD68" s="607"/>
      <c r="AE68" s="608"/>
      <c r="AF68" s="608"/>
      <c r="AG68" s="440"/>
      <c r="AH68" s="440"/>
      <c r="AI68" s="440"/>
      <c r="AJ68" s="584"/>
      <c r="AK68" s="609"/>
      <c r="AL68" s="441"/>
      <c r="AM68" s="607"/>
      <c r="AN68" s="608"/>
      <c r="AO68" s="608"/>
      <c r="AP68" s="440"/>
      <c r="AQ68" s="609"/>
    </row>
    <row r="69" spans="1:43" x14ac:dyDescent="0.2">
      <c r="A69" s="602"/>
      <c r="B69" s="603" t="s">
        <v>475</v>
      </c>
      <c r="C69" s="593"/>
      <c r="D69" s="594"/>
      <c r="E69" s="594"/>
      <c r="F69" s="594"/>
      <c r="G69" s="594"/>
      <c r="H69" s="594"/>
      <c r="I69" s="594"/>
      <c r="J69" s="594"/>
      <c r="K69" s="594"/>
      <c r="L69" s="594"/>
      <c r="M69" s="594"/>
      <c r="N69" s="595"/>
      <c r="O69" s="594"/>
      <c r="P69" s="594"/>
      <c r="Q69" s="594"/>
      <c r="R69" s="594"/>
      <c r="S69" s="594"/>
      <c r="T69" s="594"/>
      <c r="U69" s="594"/>
      <c r="V69" s="594"/>
      <c r="W69" s="594"/>
      <c r="X69" s="594"/>
      <c r="Y69" s="595"/>
      <c r="Z69" s="604"/>
      <c r="AA69" s="605"/>
      <c r="AB69" s="605"/>
      <c r="AC69" s="606"/>
      <c r="AD69" s="607"/>
      <c r="AE69" s="608"/>
      <c r="AF69" s="608"/>
      <c r="AG69" s="440"/>
      <c r="AH69" s="440"/>
      <c r="AI69" s="440"/>
      <c r="AJ69" s="584"/>
      <c r="AK69" s="609"/>
      <c r="AL69" s="441"/>
      <c r="AM69" s="607"/>
      <c r="AN69" s="608"/>
      <c r="AO69" s="608"/>
      <c r="AP69" s="440"/>
      <c r="AQ69" s="609"/>
    </row>
    <row r="70" spans="1:43" x14ac:dyDescent="0.2">
      <c r="A70" s="602"/>
      <c r="B70" s="603" t="s">
        <v>471</v>
      </c>
      <c r="C70" s="593"/>
      <c r="D70" s="594"/>
      <c r="E70" s="594"/>
      <c r="F70" s="594"/>
      <c r="G70" s="594"/>
      <c r="H70" s="594"/>
      <c r="I70" s="594"/>
      <c r="J70" s="594"/>
      <c r="K70" s="594"/>
      <c r="L70" s="594"/>
      <c r="M70" s="594"/>
      <c r="N70" s="595"/>
      <c r="O70" s="594"/>
      <c r="P70" s="594"/>
      <c r="Q70" s="594"/>
      <c r="R70" s="594"/>
      <c r="S70" s="594"/>
      <c r="T70" s="594"/>
      <c r="U70" s="594"/>
      <c r="V70" s="594"/>
      <c r="W70" s="594"/>
      <c r="X70" s="594"/>
      <c r="Y70" s="595"/>
      <c r="Z70" s="604"/>
      <c r="AA70" s="605"/>
      <c r="AB70" s="605"/>
      <c r="AC70" s="606"/>
      <c r="AD70" s="607"/>
      <c r="AE70" s="608"/>
      <c r="AF70" s="608"/>
      <c r="AG70" s="440"/>
      <c r="AH70" s="440"/>
      <c r="AI70" s="440"/>
      <c r="AJ70" s="584"/>
      <c r="AK70" s="609"/>
      <c r="AL70" s="441"/>
      <c r="AM70" s="607"/>
      <c r="AN70" s="608"/>
      <c r="AO70" s="608"/>
      <c r="AP70" s="440"/>
      <c r="AQ70" s="609"/>
    </row>
    <row r="71" spans="1:43" ht="39.6" customHeight="1" x14ac:dyDescent="0.2">
      <c r="A71" s="602"/>
      <c r="B71" s="603" t="s">
        <v>472</v>
      </c>
      <c r="C71" s="593"/>
      <c r="D71" s="594"/>
      <c r="E71" s="594"/>
      <c r="F71" s="594"/>
      <c r="G71" s="594"/>
      <c r="H71" s="594"/>
      <c r="I71" s="594"/>
      <c r="J71" s="594"/>
      <c r="K71" s="594"/>
      <c r="L71" s="594"/>
      <c r="M71" s="594"/>
      <c r="N71" s="595"/>
      <c r="O71" s="594"/>
      <c r="P71" s="594"/>
      <c r="Q71" s="594"/>
      <c r="R71" s="594"/>
      <c r="S71" s="594"/>
      <c r="T71" s="594"/>
      <c r="U71" s="594"/>
      <c r="V71" s="594"/>
      <c r="W71" s="594"/>
      <c r="X71" s="594"/>
      <c r="Y71" s="595"/>
      <c r="Z71" s="604"/>
      <c r="AA71" s="605"/>
      <c r="AB71" s="605"/>
      <c r="AC71" s="606"/>
      <c r="AD71" s="607"/>
      <c r="AE71" s="608"/>
      <c r="AF71" s="608"/>
      <c r="AG71" s="440"/>
      <c r="AH71" s="440"/>
      <c r="AI71" s="440"/>
      <c r="AJ71" s="584"/>
      <c r="AK71" s="609"/>
      <c r="AL71" s="441"/>
      <c r="AM71" s="607"/>
      <c r="AN71" s="608"/>
      <c r="AO71" s="608"/>
      <c r="AP71" s="440"/>
      <c r="AQ71" s="609"/>
    </row>
    <row r="72" spans="1:43" ht="24" x14ac:dyDescent="0.2">
      <c r="A72" s="610"/>
      <c r="B72" s="611" t="s">
        <v>413</v>
      </c>
      <c r="C72" s="249"/>
      <c r="D72" s="250"/>
      <c r="E72" s="250"/>
      <c r="F72" s="250"/>
      <c r="G72" s="250"/>
      <c r="H72" s="250"/>
      <c r="I72" s="250"/>
      <c r="J72" s="250"/>
      <c r="K72" s="250"/>
      <c r="L72" s="250"/>
      <c r="M72" s="250"/>
      <c r="N72" s="251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1"/>
      <c r="Z72" s="587"/>
      <c r="AA72" s="588"/>
      <c r="AB72" s="588"/>
      <c r="AC72" s="589"/>
      <c r="AD72" s="612"/>
      <c r="AE72" s="613"/>
      <c r="AF72" s="613"/>
      <c r="AG72" s="440"/>
      <c r="AH72" s="440"/>
      <c r="AI72" s="440"/>
      <c r="AJ72" s="584"/>
      <c r="AK72" s="590"/>
      <c r="AL72" s="441"/>
      <c r="AM72" s="612"/>
      <c r="AN72" s="613"/>
      <c r="AO72" s="613"/>
      <c r="AP72" s="440"/>
      <c r="AQ72" s="590"/>
    </row>
    <row r="73" spans="1:43" ht="15" customHeight="1" x14ac:dyDescent="0.2">
      <c r="A73" s="591" t="str">
        <f>'Rozpočet - vývoj Aplikácií'!$C$60</f>
        <v>2. Mobilný Agendový informačný systém KSED</v>
      </c>
      <c r="B73" s="592" t="s">
        <v>390</v>
      </c>
      <c r="C73" s="615"/>
      <c r="D73" s="616"/>
      <c r="E73" s="616"/>
      <c r="F73" s="616"/>
      <c r="G73" s="616"/>
      <c r="H73" s="616"/>
      <c r="I73" s="616"/>
      <c r="J73" s="616"/>
      <c r="K73" s="616"/>
      <c r="L73" s="616"/>
      <c r="M73" s="616"/>
      <c r="N73" s="617"/>
      <c r="O73" s="616"/>
      <c r="P73" s="616"/>
      <c r="Q73" s="616"/>
      <c r="R73" s="616"/>
      <c r="S73" s="616"/>
      <c r="T73" s="616"/>
      <c r="U73" s="616"/>
      <c r="V73" s="616"/>
      <c r="W73" s="616"/>
      <c r="X73" s="616"/>
      <c r="Y73" s="617"/>
      <c r="Z73" s="618"/>
      <c r="AA73" s="619"/>
      <c r="AB73" s="619"/>
      <c r="AC73" s="620"/>
      <c r="AD73" s="599"/>
      <c r="AE73" s="600"/>
      <c r="AF73" s="600"/>
      <c r="AG73" s="440">
        <f t="shared" si="0"/>
        <v>0</v>
      </c>
      <c r="AH73" s="440">
        <f t="shared" si="1"/>
        <v>0</v>
      </c>
      <c r="AI73" s="440">
        <f t="shared" si="2"/>
        <v>0</v>
      </c>
      <c r="AJ73" s="584"/>
      <c r="AK73" s="621"/>
      <c r="AL73" s="599"/>
      <c r="AM73" s="599"/>
      <c r="AN73" s="600"/>
      <c r="AO73" s="600"/>
      <c r="AP73" s="440">
        <f t="shared" si="3"/>
        <v>0</v>
      </c>
      <c r="AQ73" s="621"/>
    </row>
    <row r="74" spans="1:43" ht="48" x14ac:dyDescent="0.2">
      <c r="A74" s="602"/>
      <c r="B74" s="603" t="s">
        <v>473</v>
      </c>
      <c r="C74" s="593"/>
      <c r="D74" s="594"/>
      <c r="E74" s="594"/>
      <c r="F74" s="594"/>
      <c r="G74" s="594"/>
      <c r="H74" s="594"/>
      <c r="I74" s="594"/>
      <c r="J74" s="594"/>
      <c r="K74" s="594"/>
      <c r="L74" s="594"/>
      <c r="M74" s="594"/>
      <c r="N74" s="595"/>
      <c r="O74" s="594"/>
      <c r="P74" s="594"/>
      <c r="Q74" s="594"/>
      <c r="R74" s="594"/>
      <c r="S74" s="594"/>
      <c r="T74" s="594"/>
      <c r="U74" s="594"/>
      <c r="V74" s="594"/>
      <c r="W74" s="594"/>
      <c r="X74" s="594"/>
      <c r="Y74" s="595"/>
      <c r="Z74" s="604"/>
      <c r="AA74" s="605"/>
      <c r="AB74" s="605"/>
      <c r="AC74" s="606"/>
      <c r="AD74" s="607"/>
      <c r="AE74" s="608"/>
      <c r="AF74" s="608"/>
      <c r="AG74" s="440"/>
      <c r="AH74" s="440"/>
      <c r="AI74" s="440"/>
      <c r="AJ74" s="584"/>
      <c r="AK74" s="609"/>
      <c r="AL74" s="607"/>
      <c r="AM74" s="607"/>
      <c r="AN74" s="608"/>
      <c r="AO74" s="608"/>
      <c r="AP74" s="440"/>
      <c r="AQ74" s="609"/>
    </row>
    <row r="75" spans="1:43" ht="48" x14ac:dyDescent="0.2">
      <c r="A75" s="610"/>
      <c r="B75" s="611" t="s">
        <v>391</v>
      </c>
      <c r="C75" s="249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1"/>
      <c r="O75" s="250"/>
      <c r="P75" s="250"/>
      <c r="Q75" s="250"/>
      <c r="R75" s="250"/>
      <c r="S75" s="250"/>
      <c r="T75" s="250"/>
      <c r="U75" s="250"/>
      <c r="V75" s="250"/>
      <c r="W75" s="250"/>
      <c r="X75" s="250"/>
      <c r="Y75" s="251"/>
      <c r="Z75" s="587"/>
      <c r="AA75" s="588"/>
      <c r="AB75" s="588"/>
      <c r="AC75" s="589"/>
      <c r="AD75" s="612"/>
      <c r="AE75" s="613"/>
      <c r="AF75" s="613"/>
      <c r="AG75" s="440"/>
      <c r="AH75" s="440"/>
      <c r="AI75" s="440"/>
      <c r="AJ75" s="584"/>
      <c r="AK75" s="590"/>
      <c r="AL75" s="612"/>
      <c r="AM75" s="612"/>
      <c r="AN75" s="613"/>
      <c r="AO75" s="613"/>
      <c r="AP75" s="440"/>
      <c r="AQ75" s="590"/>
    </row>
    <row r="76" spans="1:43" ht="15" customHeight="1" x14ac:dyDescent="0.2">
      <c r="A76" s="591" t="str">
        <f>'Rozpočet - vývoj Aplikácií'!$C$66</f>
        <v>3. Verejný portál KSED</v>
      </c>
      <c r="B76" s="592" t="s">
        <v>405</v>
      </c>
      <c r="C76" s="615"/>
      <c r="D76" s="616"/>
      <c r="E76" s="616"/>
      <c r="F76" s="616"/>
      <c r="G76" s="616"/>
      <c r="H76" s="616"/>
      <c r="I76" s="616"/>
      <c r="J76" s="616"/>
      <c r="K76" s="616"/>
      <c r="L76" s="616"/>
      <c r="M76" s="616"/>
      <c r="N76" s="617"/>
      <c r="O76" s="616"/>
      <c r="P76" s="616"/>
      <c r="Q76" s="616"/>
      <c r="R76" s="616"/>
      <c r="S76" s="616"/>
      <c r="T76" s="616"/>
      <c r="U76" s="616"/>
      <c r="V76" s="616"/>
      <c r="W76" s="616"/>
      <c r="X76" s="616"/>
      <c r="Y76" s="617"/>
      <c r="Z76" s="618"/>
      <c r="AA76" s="619"/>
      <c r="AB76" s="619"/>
      <c r="AC76" s="620"/>
      <c r="AD76" s="599"/>
      <c r="AE76" s="600"/>
      <c r="AF76" s="600"/>
      <c r="AG76" s="440">
        <f t="shared" si="0"/>
        <v>0</v>
      </c>
      <c r="AH76" s="440">
        <f t="shared" si="1"/>
        <v>0</v>
      </c>
      <c r="AI76" s="440">
        <f t="shared" si="2"/>
        <v>0</v>
      </c>
      <c r="AJ76" s="584"/>
      <c r="AK76" s="621"/>
      <c r="AL76" s="599"/>
      <c r="AM76" s="599"/>
      <c r="AN76" s="600"/>
      <c r="AO76" s="600"/>
      <c r="AP76" s="440">
        <f t="shared" si="3"/>
        <v>0</v>
      </c>
      <c r="AQ76" s="621"/>
    </row>
    <row r="77" spans="1:43" ht="36" x14ac:dyDescent="0.2">
      <c r="A77" s="602"/>
      <c r="B77" s="603" t="s">
        <v>406</v>
      </c>
      <c r="C77" s="593"/>
      <c r="D77" s="594"/>
      <c r="E77" s="594"/>
      <c r="F77" s="594"/>
      <c r="G77" s="594"/>
      <c r="H77" s="594"/>
      <c r="I77" s="594"/>
      <c r="J77" s="594"/>
      <c r="K77" s="594"/>
      <c r="L77" s="594"/>
      <c r="M77" s="594"/>
      <c r="N77" s="595"/>
      <c r="O77" s="594"/>
      <c r="P77" s="594"/>
      <c r="Q77" s="594"/>
      <c r="R77" s="594"/>
      <c r="S77" s="594"/>
      <c r="T77" s="594"/>
      <c r="U77" s="594"/>
      <c r="V77" s="594"/>
      <c r="W77" s="594"/>
      <c r="X77" s="594"/>
      <c r="Y77" s="595"/>
      <c r="Z77" s="604"/>
      <c r="AA77" s="605"/>
      <c r="AB77" s="605"/>
      <c r="AC77" s="606"/>
      <c r="AD77" s="607"/>
      <c r="AE77" s="608"/>
      <c r="AF77" s="608"/>
      <c r="AG77" s="440"/>
      <c r="AH77" s="440"/>
      <c r="AI77" s="440"/>
      <c r="AJ77" s="584"/>
      <c r="AK77" s="609"/>
      <c r="AL77" s="607"/>
      <c r="AM77" s="607"/>
      <c r="AN77" s="608"/>
      <c r="AO77" s="608"/>
      <c r="AP77" s="440"/>
      <c r="AQ77" s="609"/>
    </row>
    <row r="78" spans="1:43" x14ac:dyDescent="0.2">
      <c r="A78" s="602"/>
      <c r="B78" s="603" t="s">
        <v>454</v>
      </c>
      <c r="C78" s="593"/>
      <c r="D78" s="594"/>
      <c r="E78" s="594"/>
      <c r="F78" s="594"/>
      <c r="G78" s="594"/>
      <c r="H78" s="594"/>
      <c r="I78" s="594"/>
      <c r="J78" s="594"/>
      <c r="K78" s="594"/>
      <c r="L78" s="594"/>
      <c r="M78" s="594"/>
      <c r="N78" s="595"/>
      <c r="O78" s="594"/>
      <c r="P78" s="594"/>
      <c r="Q78" s="594"/>
      <c r="R78" s="594"/>
      <c r="S78" s="594"/>
      <c r="T78" s="594"/>
      <c r="U78" s="594"/>
      <c r="V78" s="594"/>
      <c r="W78" s="594"/>
      <c r="X78" s="594"/>
      <c r="Y78" s="595"/>
      <c r="Z78" s="604"/>
      <c r="AA78" s="605"/>
      <c r="AB78" s="605"/>
      <c r="AC78" s="606"/>
      <c r="AD78" s="607"/>
      <c r="AE78" s="608"/>
      <c r="AF78" s="608"/>
      <c r="AG78" s="440"/>
      <c r="AH78" s="440"/>
      <c r="AI78" s="440"/>
      <c r="AJ78" s="584"/>
      <c r="AK78" s="609"/>
      <c r="AL78" s="607"/>
      <c r="AM78" s="607"/>
      <c r="AN78" s="608"/>
      <c r="AO78" s="608"/>
      <c r="AP78" s="440"/>
      <c r="AQ78" s="609"/>
    </row>
    <row r="79" spans="1:43" x14ac:dyDescent="0.2">
      <c r="A79" s="602"/>
      <c r="B79" s="603" t="s">
        <v>455</v>
      </c>
      <c r="C79" s="593"/>
      <c r="D79" s="594"/>
      <c r="E79" s="594"/>
      <c r="F79" s="594"/>
      <c r="G79" s="594"/>
      <c r="H79" s="594"/>
      <c r="I79" s="594"/>
      <c r="J79" s="594"/>
      <c r="K79" s="594"/>
      <c r="L79" s="594"/>
      <c r="M79" s="594"/>
      <c r="N79" s="595"/>
      <c r="O79" s="594"/>
      <c r="P79" s="594"/>
      <c r="Q79" s="594"/>
      <c r="R79" s="594"/>
      <c r="S79" s="594"/>
      <c r="T79" s="594"/>
      <c r="U79" s="594"/>
      <c r="V79" s="594"/>
      <c r="W79" s="594"/>
      <c r="X79" s="594"/>
      <c r="Y79" s="595"/>
      <c r="Z79" s="604"/>
      <c r="AA79" s="605"/>
      <c r="AB79" s="605"/>
      <c r="AC79" s="606"/>
      <c r="AD79" s="607"/>
      <c r="AE79" s="608"/>
      <c r="AF79" s="608"/>
      <c r="AG79" s="440"/>
      <c r="AH79" s="440"/>
      <c r="AI79" s="440"/>
      <c r="AJ79" s="584"/>
      <c r="AK79" s="609"/>
      <c r="AL79" s="607"/>
      <c r="AM79" s="607"/>
      <c r="AN79" s="608"/>
      <c r="AO79" s="608"/>
      <c r="AP79" s="440"/>
      <c r="AQ79" s="609"/>
    </row>
    <row r="80" spans="1:43" x14ac:dyDescent="0.2">
      <c r="A80" s="602"/>
      <c r="B80" s="603" t="s">
        <v>456</v>
      </c>
      <c r="C80" s="593"/>
      <c r="D80" s="594"/>
      <c r="E80" s="594"/>
      <c r="F80" s="594"/>
      <c r="G80" s="594"/>
      <c r="H80" s="594"/>
      <c r="I80" s="594"/>
      <c r="J80" s="594"/>
      <c r="K80" s="594"/>
      <c r="L80" s="594"/>
      <c r="M80" s="594"/>
      <c r="N80" s="595"/>
      <c r="O80" s="594"/>
      <c r="P80" s="594"/>
      <c r="Q80" s="594"/>
      <c r="R80" s="594"/>
      <c r="S80" s="594"/>
      <c r="T80" s="594"/>
      <c r="U80" s="594"/>
      <c r="V80" s="594"/>
      <c r="W80" s="594"/>
      <c r="X80" s="594"/>
      <c r="Y80" s="595"/>
      <c r="Z80" s="604"/>
      <c r="AA80" s="605"/>
      <c r="AB80" s="605"/>
      <c r="AC80" s="606"/>
      <c r="AD80" s="607"/>
      <c r="AE80" s="608"/>
      <c r="AF80" s="608"/>
      <c r="AG80" s="440"/>
      <c r="AH80" s="440"/>
      <c r="AI80" s="440"/>
      <c r="AJ80" s="584"/>
      <c r="AK80" s="609"/>
      <c r="AL80" s="607"/>
      <c r="AM80" s="607"/>
      <c r="AN80" s="608"/>
      <c r="AO80" s="608"/>
      <c r="AP80" s="440"/>
      <c r="AQ80" s="609"/>
    </row>
    <row r="81" spans="1:43" x14ac:dyDescent="0.2">
      <c r="A81" s="602"/>
      <c r="B81" s="603" t="s">
        <v>457</v>
      </c>
      <c r="C81" s="593"/>
      <c r="D81" s="594"/>
      <c r="E81" s="594"/>
      <c r="F81" s="594"/>
      <c r="G81" s="594"/>
      <c r="H81" s="594"/>
      <c r="I81" s="594"/>
      <c r="J81" s="594"/>
      <c r="K81" s="594"/>
      <c r="L81" s="594"/>
      <c r="M81" s="594"/>
      <c r="N81" s="595"/>
      <c r="O81" s="594"/>
      <c r="P81" s="594"/>
      <c r="Q81" s="594"/>
      <c r="R81" s="594"/>
      <c r="S81" s="594"/>
      <c r="T81" s="594"/>
      <c r="U81" s="594"/>
      <c r="V81" s="594"/>
      <c r="W81" s="594"/>
      <c r="X81" s="594"/>
      <c r="Y81" s="595"/>
      <c r="Z81" s="604"/>
      <c r="AA81" s="605"/>
      <c r="AB81" s="605"/>
      <c r="AC81" s="606"/>
      <c r="AD81" s="607"/>
      <c r="AE81" s="608"/>
      <c r="AF81" s="608"/>
      <c r="AG81" s="440"/>
      <c r="AH81" s="440"/>
      <c r="AI81" s="440"/>
      <c r="AJ81" s="584"/>
      <c r="AK81" s="609"/>
      <c r="AL81" s="607"/>
      <c r="AM81" s="607"/>
      <c r="AN81" s="608"/>
      <c r="AO81" s="608"/>
      <c r="AP81" s="440"/>
      <c r="AQ81" s="609"/>
    </row>
    <row r="82" spans="1:43" x14ac:dyDescent="0.2">
      <c r="A82" s="602"/>
      <c r="B82" s="603" t="s">
        <v>458</v>
      </c>
      <c r="C82" s="593"/>
      <c r="D82" s="594"/>
      <c r="E82" s="594"/>
      <c r="F82" s="594"/>
      <c r="G82" s="594"/>
      <c r="H82" s="594"/>
      <c r="I82" s="594"/>
      <c r="J82" s="594"/>
      <c r="K82" s="594"/>
      <c r="L82" s="594"/>
      <c r="M82" s="594"/>
      <c r="N82" s="595"/>
      <c r="O82" s="594"/>
      <c r="P82" s="594"/>
      <c r="Q82" s="594"/>
      <c r="R82" s="594"/>
      <c r="S82" s="594"/>
      <c r="T82" s="594"/>
      <c r="U82" s="594"/>
      <c r="V82" s="594"/>
      <c r="W82" s="594"/>
      <c r="X82" s="594"/>
      <c r="Y82" s="595"/>
      <c r="Z82" s="604"/>
      <c r="AA82" s="605"/>
      <c r="AB82" s="605"/>
      <c r="AC82" s="606"/>
      <c r="AD82" s="607"/>
      <c r="AE82" s="608"/>
      <c r="AF82" s="608"/>
      <c r="AG82" s="440"/>
      <c r="AH82" s="440"/>
      <c r="AI82" s="440"/>
      <c r="AJ82" s="584"/>
      <c r="AK82" s="609"/>
      <c r="AL82" s="607"/>
      <c r="AM82" s="607"/>
      <c r="AN82" s="608"/>
      <c r="AO82" s="608"/>
      <c r="AP82" s="440"/>
      <c r="AQ82" s="609"/>
    </row>
    <row r="83" spans="1:43" x14ac:dyDescent="0.2">
      <c r="A83" s="602"/>
      <c r="B83" s="603" t="s">
        <v>459</v>
      </c>
      <c r="C83" s="593"/>
      <c r="D83" s="594"/>
      <c r="E83" s="594"/>
      <c r="F83" s="594"/>
      <c r="G83" s="594"/>
      <c r="H83" s="594"/>
      <c r="I83" s="594"/>
      <c r="J83" s="594"/>
      <c r="K83" s="594"/>
      <c r="L83" s="594"/>
      <c r="M83" s="594"/>
      <c r="N83" s="595"/>
      <c r="O83" s="594"/>
      <c r="P83" s="594"/>
      <c r="Q83" s="594"/>
      <c r="R83" s="594"/>
      <c r="S83" s="594"/>
      <c r="T83" s="594"/>
      <c r="U83" s="594"/>
      <c r="V83" s="594"/>
      <c r="W83" s="594"/>
      <c r="X83" s="594"/>
      <c r="Y83" s="595"/>
      <c r="Z83" s="604"/>
      <c r="AA83" s="605"/>
      <c r="AB83" s="605"/>
      <c r="AC83" s="606"/>
      <c r="AD83" s="607"/>
      <c r="AE83" s="608"/>
      <c r="AF83" s="608"/>
      <c r="AG83" s="440"/>
      <c r="AH83" s="440"/>
      <c r="AI83" s="440"/>
      <c r="AJ83" s="584"/>
      <c r="AK83" s="609"/>
      <c r="AL83" s="607"/>
      <c r="AM83" s="607"/>
      <c r="AN83" s="608"/>
      <c r="AO83" s="608"/>
      <c r="AP83" s="440"/>
      <c r="AQ83" s="609"/>
    </row>
    <row r="84" spans="1:43" x14ac:dyDescent="0.2">
      <c r="A84" s="602"/>
      <c r="B84" s="603" t="s">
        <v>460</v>
      </c>
      <c r="C84" s="593"/>
      <c r="D84" s="594"/>
      <c r="E84" s="594"/>
      <c r="F84" s="594"/>
      <c r="G84" s="594"/>
      <c r="H84" s="594"/>
      <c r="I84" s="594"/>
      <c r="J84" s="594"/>
      <c r="K84" s="594"/>
      <c r="L84" s="594"/>
      <c r="M84" s="594"/>
      <c r="N84" s="595"/>
      <c r="O84" s="594"/>
      <c r="P84" s="594"/>
      <c r="Q84" s="594"/>
      <c r="R84" s="594"/>
      <c r="S84" s="594"/>
      <c r="T84" s="594"/>
      <c r="U84" s="594"/>
      <c r="V84" s="594"/>
      <c r="W84" s="594"/>
      <c r="X84" s="594"/>
      <c r="Y84" s="595"/>
      <c r="Z84" s="604"/>
      <c r="AA84" s="605"/>
      <c r="AB84" s="605"/>
      <c r="AC84" s="606"/>
      <c r="AD84" s="607"/>
      <c r="AE84" s="608"/>
      <c r="AF84" s="608"/>
      <c r="AG84" s="440"/>
      <c r="AH84" s="440"/>
      <c r="AI84" s="440"/>
      <c r="AJ84" s="584"/>
      <c r="AK84" s="609"/>
      <c r="AL84" s="607"/>
      <c r="AM84" s="607"/>
      <c r="AN84" s="608"/>
      <c r="AO84" s="608"/>
      <c r="AP84" s="440"/>
      <c r="AQ84" s="609"/>
    </row>
    <row r="85" spans="1:43" x14ac:dyDescent="0.2">
      <c r="A85" s="602"/>
      <c r="B85" s="603" t="s">
        <v>461</v>
      </c>
      <c r="C85" s="593"/>
      <c r="D85" s="594"/>
      <c r="E85" s="594"/>
      <c r="F85" s="594"/>
      <c r="G85" s="594"/>
      <c r="H85" s="594"/>
      <c r="I85" s="594"/>
      <c r="J85" s="594"/>
      <c r="K85" s="594"/>
      <c r="L85" s="594"/>
      <c r="M85" s="594"/>
      <c r="N85" s="595"/>
      <c r="O85" s="594"/>
      <c r="P85" s="594"/>
      <c r="Q85" s="594"/>
      <c r="R85" s="594"/>
      <c r="S85" s="594"/>
      <c r="T85" s="594"/>
      <c r="U85" s="594"/>
      <c r="V85" s="594"/>
      <c r="W85" s="594"/>
      <c r="X85" s="594"/>
      <c r="Y85" s="595"/>
      <c r="Z85" s="604"/>
      <c r="AA85" s="605"/>
      <c r="AB85" s="605"/>
      <c r="AC85" s="606"/>
      <c r="AD85" s="607"/>
      <c r="AE85" s="608"/>
      <c r="AF85" s="608"/>
      <c r="AG85" s="440"/>
      <c r="AH85" s="440"/>
      <c r="AI85" s="440"/>
      <c r="AJ85" s="584"/>
      <c r="AK85" s="609"/>
      <c r="AL85" s="607"/>
      <c r="AM85" s="607"/>
      <c r="AN85" s="608"/>
      <c r="AO85" s="608"/>
      <c r="AP85" s="440"/>
      <c r="AQ85" s="609"/>
    </row>
    <row r="86" spans="1:43" x14ac:dyDescent="0.2">
      <c r="A86" s="610"/>
      <c r="B86" s="611" t="s">
        <v>462</v>
      </c>
      <c r="C86" s="249"/>
      <c r="D86" s="250"/>
      <c r="E86" s="250"/>
      <c r="F86" s="250"/>
      <c r="G86" s="250"/>
      <c r="H86" s="250"/>
      <c r="I86" s="250"/>
      <c r="J86" s="250"/>
      <c r="K86" s="250"/>
      <c r="L86" s="250"/>
      <c r="M86" s="250"/>
      <c r="N86" s="251"/>
      <c r="O86" s="250"/>
      <c r="P86" s="250"/>
      <c r="Q86" s="250"/>
      <c r="R86" s="250"/>
      <c r="S86" s="250"/>
      <c r="T86" s="250"/>
      <c r="U86" s="250"/>
      <c r="V86" s="250"/>
      <c r="W86" s="250"/>
      <c r="X86" s="250"/>
      <c r="Y86" s="251"/>
      <c r="Z86" s="587"/>
      <c r="AA86" s="588"/>
      <c r="AB86" s="588"/>
      <c r="AC86" s="589"/>
      <c r="AD86" s="612"/>
      <c r="AE86" s="613"/>
      <c r="AF86" s="613"/>
      <c r="AG86" s="440"/>
      <c r="AH86" s="440"/>
      <c r="AI86" s="440"/>
      <c r="AJ86" s="584"/>
      <c r="AK86" s="590"/>
      <c r="AL86" s="612"/>
      <c r="AM86" s="612"/>
      <c r="AN86" s="613"/>
      <c r="AO86" s="613"/>
      <c r="AP86" s="440"/>
      <c r="AQ86" s="590"/>
    </row>
    <row r="87" spans="1:43" ht="96" x14ac:dyDescent="0.2">
      <c r="A87" s="211" t="str">
        <f>'Rozpočet - vývoj Aplikácií'!$C$73</f>
        <v>4. Mobilná aplikácia Podnety</v>
      </c>
      <c r="B87" s="586" t="s">
        <v>425</v>
      </c>
      <c r="C87" s="252"/>
      <c r="D87" s="253"/>
      <c r="E87" s="253"/>
      <c r="F87" s="253"/>
      <c r="G87" s="253"/>
      <c r="H87" s="253"/>
      <c r="I87" s="253"/>
      <c r="J87" s="253"/>
      <c r="K87" s="253"/>
      <c r="L87" s="253"/>
      <c r="M87" s="253"/>
      <c r="N87" s="254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4"/>
      <c r="Z87" s="478"/>
      <c r="AA87" s="479"/>
      <c r="AB87" s="479"/>
      <c r="AC87" s="480"/>
      <c r="AD87" s="442"/>
      <c r="AE87" s="224"/>
      <c r="AF87" s="224"/>
      <c r="AG87" s="440">
        <f t="shared" si="0"/>
        <v>0</v>
      </c>
      <c r="AH87" s="440">
        <f t="shared" si="1"/>
        <v>0</v>
      </c>
      <c r="AI87" s="440">
        <f t="shared" si="2"/>
        <v>0</v>
      </c>
      <c r="AJ87" s="584"/>
      <c r="AK87" s="444"/>
      <c r="AL87" s="442"/>
      <c r="AM87" s="442"/>
      <c r="AN87" s="224"/>
      <c r="AO87" s="224"/>
      <c r="AP87" s="440">
        <f t="shared" si="3"/>
        <v>0</v>
      </c>
      <c r="AQ87" s="444"/>
    </row>
    <row r="88" spans="1:43" ht="24" x14ac:dyDescent="0.2">
      <c r="A88" s="591" t="str">
        <f>'Rozpočet - vývoj Aplikácií'!$C$79</f>
        <v>5. Integračné rozhrania a spoločné funkcionality</v>
      </c>
      <c r="B88" s="592" t="s">
        <v>426</v>
      </c>
      <c r="C88" s="615"/>
      <c r="D88" s="616"/>
      <c r="E88" s="616"/>
      <c r="F88" s="616"/>
      <c r="G88" s="616"/>
      <c r="H88" s="616"/>
      <c r="I88" s="616"/>
      <c r="J88" s="616"/>
      <c r="K88" s="616"/>
      <c r="L88" s="616"/>
      <c r="M88" s="616"/>
      <c r="N88" s="617"/>
      <c r="O88" s="616"/>
      <c r="P88" s="616"/>
      <c r="Q88" s="616"/>
      <c r="R88" s="616"/>
      <c r="S88" s="616"/>
      <c r="T88" s="616"/>
      <c r="U88" s="616"/>
      <c r="V88" s="616"/>
      <c r="W88" s="616"/>
      <c r="X88" s="616"/>
      <c r="Y88" s="617"/>
      <c r="Z88" s="618"/>
      <c r="AA88" s="619"/>
      <c r="AB88" s="619"/>
      <c r="AC88" s="620"/>
      <c r="AD88" s="599"/>
      <c r="AE88" s="600"/>
      <c r="AF88" s="600"/>
      <c r="AG88" s="440">
        <f t="shared" si="0"/>
        <v>0</v>
      </c>
      <c r="AH88" s="440">
        <f t="shared" si="1"/>
        <v>0</v>
      </c>
      <c r="AI88" s="440">
        <f t="shared" si="2"/>
        <v>0</v>
      </c>
      <c r="AJ88" s="584"/>
      <c r="AK88" s="621"/>
      <c r="AL88" s="599"/>
      <c r="AM88" s="599"/>
      <c r="AN88" s="600"/>
      <c r="AO88" s="600"/>
      <c r="AP88" s="440">
        <f t="shared" si="3"/>
        <v>0</v>
      </c>
      <c r="AQ88" s="621"/>
    </row>
    <row r="89" spans="1:43" x14ac:dyDescent="0.2">
      <c r="A89" s="602"/>
      <c r="B89" s="603" t="s">
        <v>452</v>
      </c>
      <c r="C89" s="593"/>
      <c r="D89" s="594"/>
      <c r="E89" s="594"/>
      <c r="F89" s="594"/>
      <c r="G89" s="594"/>
      <c r="H89" s="594"/>
      <c r="I89" s="594"/>
      <c r="J89" s="594"/>
      <c r="K89" s="594"/>
      <c r="L89" s="594"/>
      <c r="M89" s="594"/>
      <c r="N89" s="595"/>
      <c r="O89" s="594"/>
      <c r="P89" s="594"/>
      <c r="Q89" s="594"/>
      <c r="R89" s="594"/>
      <c r="S89" s="594"/>
      <c r="T89" s="594"/>
      <c r="U89" s="594"/>
      <c r="V89" s="594"/>
      <c r="W89" s="594"/>
      <c r="X89" s="594"/>
      <c r="Y89" s="595"/>
      <c r="Z89" s="604"/>
      <c r="AA89" s="605"/>
      <c r="AB89" s="605"/>
      <c r="AC89" s="606"/>
      <c r="AD89" s="607"/>
      <c r="AE89" s="608"/>
      <c r="AF89" s="608"/>
      <c r="AG89" s="440"/>
      <c r="AH89" s="440"/>
      <c r="AI89" s="440"/>
      <c r="AJ89" s="584"/>
      <c r="AK89" s="609"/>
      <c r="AL89" s="607"/>
      <c r="AM89" s="607"/>
      <c r="AN89" s="608"/>
      <c r="AO89" s="608"/>
      <c r="AP89" s="440"/>
      <c r="AQ89" s="609"/>
    </row>
    <row r="90" spans="1:43" x14ac:dyDescent="0.2">
      <c r="A90" s="602"/>
      <c r="B90" s="603" t="s">
        <v>427</v>
      </c>
      <c r="C90" s="593"/>
      <c r="D90" s="594"/>
      <c r="E90" s="594"/>
      <c r="F90" s="594"/>
      <c r="G90" s="594"/>
      <c r="H90" s="594"/>
      <c r="I90" s="594"/>
      <c r="J90" s="594"/>
      <c r="K90" s="594"/>
      <c r="L90" s="594"/>
      <c r="M90" s="594"/>
      <c r="N90" s="595"/>
      <c r="O90" s="594"/>
      <c r="P90" s="594"/>
      <c r="Q90" s="594"/>
      <c r="R90" s="594"/>
      <c r="S90" s="594"/>
      <c r="T90" s="594"/>
      <c r="U90" s="594"/>
      <c r="V90" s="594"/>
      <c r="W90" s="594"/>
      <c r="X90" s="594"/>
      <c r="Y90" s="595"/>
      <c r="Z90" s="604"/>
      <c r="AA90" s="605"/>
      <c r="AB90" s="605"/>
      <c r="AC90" s="606"/>
      <c r="AD90" s="607"/>
      <c r="AE90" s="608"/>
      <c r="AF90" s="608"/>
      <c r="AG90" s="440"/>
      <c r="AH90" s="440"/>
      <c r="AI90" s="440"/>
      <c r="AJ90" s="584"/>
      <c r="AK90" s="609"/>
      <c r="AL90" s="607"/>
      <c r="AM90" s="607"/>
      <c r="AN90" s="608"/>
      <c r="AO90" s="608"/>
      <c r="AP90" s="440"/>
      <c r="AQ90" s="609"/>
    </row>
    <row r="91" spans="1:43" x14ac:dyDescent="0.2">
      <c r="A91" s="602"/>
      <c r="B91" s="603" t="s">
        <v>428</v>
      </c>
      <c r="C91" s="593"/>
      <c r="D91" s="594"/>
      <c r="E91" s="594"/>
      <c r="F91" s="594"/>
      <c r="G91" s="594"/>
      <c r="H91" s="594"/>
      <c r="I91" s="594"/>
      <c r="J91" s="594"/>
      <c r="K91" s="594"/>
      <c r="L91" s="594"/>
      <c r="M91" s="594"/>
      <c r="N91" s="595"/>
      <c r="O91" s="594"/>
      <c r="P91" s="594"/>
      <c r="Q91" s="594"/>
      <c r="R91" s="594"/>
      <c r="S91" s="594"/>
      <c r="T91" s="594"/>
      <c r="U91" s="594"/>
      <c r="V91" s="594"/>
      <c r="W91" s="594"/>
      <c r="X91" s="594"/>
      <c r="Y91" s="595"/>
      <c r="Z91" s="604"/>
      <c r="AA91" s="605"/>
      <c r="AB91" s="605"/>
      <c r="AC91" s="606"/>
      <c r="AD91" s="607"/>
      <c r="AE91" s="608"/>
      <c r="AF91" s="608"/>
      <c r="AG91" s="440"/>
      <c r="AH91" s="440"/>
      <c r="AI91" s="440"/>
      <c r="AJ91" s="584"/>
      <c r="AK91" s="609"/>
      <c r="AL91" s="607"/>
      <c r="AM91" s="607"/>
      <c r="AN91" s="608"/>
      <c r="AO91" s="608"/>
      <c r="AP91" s="440"/>
      <c r="AQ91" s="609"/>
    </row>
    <row r="92" spans="1:43" x14ac:dyDescent="0.2">
      <c r="A92" s="602"/>
      <c r="B92" s="603" t="s">
        <v>429</v>
      </c>
      <c r="C92" s="593"/>
      <c r="D92" s="594"/>
      <c r="E92" s="594"/>
      <c r="F92" s="594"/>
      <c r="G92" s="594"/>
      <c r="H92" s="594"/>
      <c r="I92" s="594"/>
      <c r="J92" s="594"/>
      <c r="K92" s="594"/>
      <c r="L92" s="594"/>
      <c r="M92" s="594"/>
      <c r="N92" s="595"/>
      <c r="O92" s="594"/>
      <c r="P92" s="594"/>
      <c r="Q92" s="594"/>
      <c r="R92" s="594"/>
      <c r="S92" s="594"/>
      <c r="T92" s="594"/>
      <c r="U92" s="594"/>
      <c r="V92" s="594"/>
      <c r="W92" s="594"/>
      <c r="X92" s="594"/>
      <c r="Y92" s="595"/>
      <c r="Z92" s="604"/>
      <c r="AA92" s="605"/>
      <c r="AB92" s="605"/>
      <c r="AC92" s="606"/>
      <c r="AD92" s="607"/>
      <c r="AE92" s="608"/>
      <c r="AF92" s="608"/>
      <c r="AG92" s="440"/>
      <c r="AH92" s="440"/>
      <c r="AI92" s="440"/>
      <c r="AJ92" s="584"/>
      <c r="AK92" s="609"/>
      <c r="AL92" s="607"/>
      <c r="AM92" s="607"/>
      <c r="AN92" s="608"/>
      <c r="AO92" s="608"/>
      <c r="AP92" s="440"/>
      <c r="AQ92" s="609"/>
    </row>
    <row r="93" spans="1:43" x14ac:dyDescent="0.2">
      <c r="A93" s="602"/>
      <c r="B93" s="603" t="s">
        <v>430</v>
      </c>
      <c r="C93" s="593"/>
      <c r="D93" s="594"/>
      <c r="E93" s="594"/>
      <c r="F93" s="594"/>
      <c r="G93" s="594"/>
      <c r="H93" s="594"/>
      <c r="I93" s="594"/>
      <c r="J93" s="594"/>
      <c r="K93" s="594"/>
      <c r="L93" s="594"/>
      <c r="M93" s="594"/>
      <c r="N93" s="595"/>
      <c r="O93" s="594"/>
      <c r="P93" s="594"/>
      <c r="Q93" s="594"/>
      <c r="R93" s="594"/>
      <c r="S93" s="594"/>
      <c r="T93" s="594"/>
      <c r="U93" s="594"/>
      <c r="V93" s="594"/>
      <c r="W93" s="594"/>
      <c r="X93" s="594"/>
      <c r="Y93" s="595"/>
      <c r="Z93" s="604"/>
      <c r="AA93" s="605"/>
      <c r="AB93" s="605"/>
      <c r="AC93" s="606"/>
      <c r="AD93" s="607"/>
      <c r="AE93" s="608"/>
      <c r="AF93" s="608"/>
      <c r="AG93" s="440"/>
      <c r="AH93" s="440"/>
      <c r="AI93" s="440"/>
      <c r="AJ93" s="584"/>
      <c r="AK93" s="609"/>
      <c r="AL93" s="607"/>
      <c r="AM93" s="607"/>
      <c r="AN93" s="608"/>
      <c r="AO93" s="608"/>
      <c r="AP93" s="440"/>
      <c r="AQ93" s="609"/>
    </row>
    <row r="94" spans="1:43" ht="48" x14ac:dyDescent="0.2">
      <c r="A94" s="602"/>
      <c r="B94" s="603" t="s">
        <v>431</v>
      </c>
      <c r="C94" s="593"/>
      <c r="D94" s="594"/>
      <c r="E94" s="594"/>
      <c r="F94" s="594"/>
      <c r="G94" s="594"/>
      <c r="H94" s="594"/>
      <c r="I94" s="594"/>
      <c r="J94" s="594"/>
      <c r="K94" s="594"/>
      <c r="L94" s="594"/>
      <c r="M94" s="594"/>
      <c r="N94" s="595"/>
      <c r="O94" s="594"/>
      <c r="P94" s="594"/>
      <c r="Q94" s="594"/>
      <c r="R94" s="594"/>
      <c r="S94" s="594"/>
      <c r="T94" s="594"/>
      <c r="U94" s="594"/>
      <c r="V94" s="594"/>
      <c r="W94" s="594"/>
      <c r="X94" s="594"/>
      <c r="Y94" s="595"/>
      <c r="Z94" s="604"/>
      <c r="AA94" s="605"/>
      <c r="AB94" s="605"/>
      <c r="AC94" s="606"/>
      <c r="AD94" s="607"/>
      <c r="AE94" s="608"/>
      <c r="AF94" s="608"/>
      <c r="AG94" s="440"/>
      <c r="AH94" s="440"/>
      <c r="AI94" s="440"/>
      <c r="AJ94" s="584"/>
      <c r="AK94" s="609"/>
      <c r="AL94" s="607"/>
      <c r="AM94" s="607"/>
      <c r="AN94" s="608"/>
      <c r="AO94" s="608"/>
      <c r="AP94" s="440"/>
      <c r="AQ94" s="609"/>
    </row>
    <row r="95" spans="1:43" x14ac:dyDescent="0.2">
      <c r="A95" s="602"/>
      <c r="B95" s="603" t="s">
        <v>432</v>
      </c>
      <c r="C95" s="593"/>
      <c r="D95" s="594"/>
      <c r="E95" s="594"/>
      <c r="F95" s="594"/>
      <c r="G95" s="594"/>
      <c r="H95" s="594"/>
      <c r="I95" s="594"/>
      <c r="J95" s="594"/>
      <c r="K95" s="594"/>
      <c r="L95" s="594"/>
      <c r="M95" s="594"/>
      <c r="N95" s="595"/>
      <c r="O95" s="594"/>
      <c r="P95" s="594"/>
      <c r="Q95" s="594"/>
      <c r="R95" s="594"/>
      <c r="S95" s="594"/>
      <c r="T95" s="594"/>
      <c r="U95" s="594"/>
      <c r="V95" s="594"/>
      <c r="W95" s="594"/>
      <c r="X95" s="594"/>
      <c r="Y95" s="595"/>
      <c r="Z95" s="604"/>
      <c r="AA95" s="605"/>
      <c r="AB95" s="605"/>
      <c r="AC95" s="606"/>
      <c r="AD95" s="607"/>
      <c r="AE95" s="608"/>
      <c r="AF95" s="608"/>
      <c r="AG95" s="440"/>
      <c r="AH95" s="440"/>
      <c r="AI95" s="440"/>
      <c r="AJ95" s="584"/>
      <c r="AK95" s="609"/>
      <c r="AL95" s="607"/>
      <c r="AM95" s="607"/>
      <c r="AN95" s="608"/>
      <c r="AO95" s="608"/>
      <c r="AP95" s="440"/>
      <c r="AQ95" s="609"/>
    </row>
    <row r="96" spans="1:43" ht="24" x14ac:dyDescent="0.2">
      <c r="A96" s="602"/>
      <c r="B96" s="603" t="s">
        <v>433</v>
      </c>
      <c r="C96" s="593"/>
      <c r="D96" s="594"/>
      <c r="E96" s="594"/>
      <c r="F96" s="594"/>
      <c r="G96" s="594"/>
      <c r="H96" s="594"/>
      <c r="I96" s="594"/>
      <c r="J96" s="594"/>
      <c r="K96" s="594"/>
      <c r="L96" s="594"/>
      <c r="M96" s="594"/>
      <c r="N96" s="595"/>
      <c r="O96" s="594"/>
      <c r="P96" s="594"/>
      <c r="Q96" s="594"/>
      <c r="R96" s="594"/>
      <c r="S96" s="594"/>
      <c r="T96" s="594"/>
      <c r="U96" s="594"/>
      <c r="V96" s="594"/>
      <c r="W96" s="594"/>
      <c r="X96" s="594"/>
      <c r="Y96" s="595"/>
      <c r="Z96" s="604"/>
      <c r="AA96" s="605"/>
      <c r="AB96" s="605"/>
      <c r="AC96" s="606"/>
      <c r="AD96" s="607"/>
      <c r="AE96" s="608"/>
      <c r="AF96" s="608"/>
      <c r="AG96" s="440"/>
      <c r="AH96" s="440"/>
      <c r="AI96" s="440"/>
      <c r="AJ96" s="584"/>
      <c r="AK96" s="609"/>
      <c r="AL96" s="607"/>
      <c r="AM96" s="607"/>
      <c r="AN96" s="608"/>
      <c r="AO96" s="608"/>
      <c r="AP96" s="440"/>
      <c r="AQ96" s="609"/>
    </row>
    <row r="97" spans="1:43" x14ac:dyDescent="0.2">
      <c r="A97" s="602"/>
      <c r="B97" s="603" t="s">
        <v>434</v>
      </c>
      <c r="C97" s="593"/>
      <c r="D97" s="594"/>
      <c r="E97" s="594"/>
      <c r="F97" s="594"/>
      <c r="G97" s="594"/>
      <c r="H97" s="594"/>
      <c r="I97" s="594"/>
      <c r="J97" s="594"/>
      <c r="K97" s="594"/>
      <c r="L97" s="594"/>
      <c r="M97" s="594"/>
      <c r="N97" s="595"/>
      <c r="O97" s="594"/>
      <c r="P97" s="594"/>
      <c r="Q97" s="594"/>
      <c r="R97" s="594"/>
      <c r="S97" s="594"/>
      <c r="T97" s="594"/>
      <c r="U97" s="594"/>
      <c r="V97" s="594"/>
      <c r="W97" s="594"/>
      <c r="X97" s="594"/>
      <c r="Y97" s="595"/>
      <c r="Z97" s="604"/>
      <c r="AA97" s="605"/>
      <c r="AB97" s="605"/>
      <c r="AC97" s="606"/>
      <c r="AD97" s="607"/>
      <c r="AE97" s="608"/>
      <c r="AF97" s="608"/>
      <c r="AG97" s="440"/>
      <c r="AH97" s="440"/>
      <c r="AI97" s="440"/>
      <c r="AJ97" s="584"/>
      <c r="AK97" s="609"/>
      <c r="AL97" s="607"/>
      <c r="AM97" s="607"/>
      <c r="AN97" s="608"/>
      <c r="AO97" s="608"/>
      <c r="AP97" s="440"/>
      <c r="AQ97" s="609"/>
    </row>
    <row r="98" spans="1:43" ht="36" x14ac:dyDescent="0.2">
      <c r="A98" s="602"/>
      <c r="B98" s="603" t="s">
        <v>435</v>
      </c>
      <c r="C98" s="593"/>
      <c r="D98" s="594"/>
      <c r="E98" s="594"/>
      <c r="F98" s="594"/>
      <c r="G98" s="594"/>
      <c r="H98" s="594"/>
      <c r="I98" s="594"/>
      <c r="J98" s="594"/>
      <c r="K98" s="594"/>
      <c r="L98" s="594"/>
      <c r="M98" s="594"/>
      <c r="N98" s="595"/>
      <c r="O98" s="594"/>
      <c r="P98" s="594"/>
      <c r="Q98" s="594"/>
      <c r="R98" s="594"/>
      <c r="S98" s="594"/>
      <c r="T98" s="594"/>
      <c r="U98" s="594"/>
      <c r="V98" s="594"/>
      <c r="W98" s="594"/>
      <c r="X98" s="594"/>
      <c r="Y98" s="595"/>
      <c r="Z98" s="604"/>
      <c r="AA98" s="605"/>
      <c r="AB98" s="605"/>
      <c r="AC98" s="606"/>
      <c r="AD98" s="607"/>
      <c r="AE98" s="608"/>
      <c r="AF98" s="608"/>
      <c r="AG98" s="440"/>
      <c r="AH98" s="440"/>
      <c r="AI98" s="440"/>
      <c r="AJ98" s="584"/>
      <c r="AK98" s="609"/>
      <c r="AL98" s="607"/>
      <c r="AM98" s="607"/>
      <c r="AN98" s="608"/>
      <c r="AO98" s="608"/>
      <c r="AP98" s="440"/>
      <c r="AQ98" s="609"/>
    </row>
    <row r="99" spans="1:43" x14ac:dyDescent="0.2">
      <c r="A99" s="602"/>
      <c r="B99" s="603" t="s">
        <v>436</v>
      </c>
      <c r="C99" s="593"/>
      <c r="D99" s="594"/>
      <c r="E99" s="594"/>
      <c r="F99" s="594"/>
      <c r="G99" s="594"/>
      <c r="H99" s="594"/>
      <c r="I99" s="594"/>
      <c r="J99" s="594"/>
      <c r="K99" s="594"/>
      <c r="L99" s="594"/>
      <c r="M99" s="594"/>
      <c r="N99" s="595"/>
      <c r="O99" s="594"/>
      <c r="P99" s="594"/>
      <c r="Q99" s="594"/>
      <c r="R99" s="594"/>
      <c r="S99" s="594"/>
      <c r="T99" s="594"/>
      <c r="U99" s="594"/>
      <c r="V99" s="594"/>
      <c r="W99" s="594"/>
      <c r="X99" s="594"/>
      <c r="Y99" s="595"/>
      <c r="Z99" s="604"/>
      <c r="AA99" s="605"/>
      <c r="AB99" s="605"/>
      <c r="AC99" s="606"/>
      <c r="AD99" s="607"/>
      <c r="AE99" s="608"/>
      <c r="AF99" s="608"/>
      <c r="AG99" s="440"/>
      <c r="AH99" s="440"/>
      <c r="AI99" s="440"/>
      <c r="AJ99" s="584"/>
      <c r="AK99" s="609"/>
      <c r="AL99" s="607"/>
      <c r="AM99" s="607"/>
      <c r="AN99" s="608"/>
      <c r="AO99" s="608"/>
      <c r="AP99" s="440"/>
      <c r="AQ99" s="609"/>
    </row>
    <row r="100" spans="1:43" x14ac:dyDescent="0.2">
      <c r="A100" s="602"/>
      <c r="B100" s="603" t="s">
        <v>437</v>
      </c>
      <c r="C100" s="593"/>
      <c r="D100" s="594"/>
      <c r="E100" s="594"/>
      <c r="F100" s="594"/>
      <c r="G100" s="594"/>
      <c r="H100" s="594"/>
      <c r="I100" s="594"/>
      <c r="J100" s="594"/>
      <c r="K100" s="594"/>
      <c r="L100" s="594"/>
      <c r="M100" s="594"/>
      <c r="N100" s="595"/>
      <c r="O100" s="594"/>
      <c r="P100" s="594"/>
      <c r="Q100" s="594"/>
      <c r="R100" s="594"/>
      <c r="S100" s="594"/>
      <c r="T100" s="594"/>
      <c r="U100" s="594"/>
      <c r="V100" s="594"/>
      <c r="W100" s="594"/>
      <c r="X100" s="594"/>
      <c r="Y100" s="595"/>
      <c r="Z100" s="604"/>
      <c r="AA100" s="605"/>
      <c r="AB100" s="605"/>
      <c r="AC100" s="606"/>
      <c r="AD100" s="607"/>
      <c r="AE100" s="608"/>
      <c r="AF100" s="608"/>
      <c r="AG100" s="440"/>
      <c r="AH100" s="440"/>
      <c r="AI100" s="440"/>
      <c r="AJ100" s="584"/>
      <c r="AK100" s="609"/>
      <c r="AL100" s="607"/>
      <c r="AM100" s="607"/>
      <c r="AN100" s="608"/>
      <c r="AO100" s="608"/>
      <c r="AP100" s="440"/>
      <c r="AQ100" s="609"/>
    </row>
    <row r="101" spans="1:43" x14ac:dyDescent="0.2">
      <c r="A101" s="602"/>
      <c r="B101" s="603" t="s">
        <v>438</v>
      </c>
      <c r="C101" s="593"/>
      <c r="D101" s="594"/>
      <c r="E101" s="594"/>
      <c r="F101" s="594"/>
      <c r="G101" s="594"/>
      <c r="H101" s="594"/>
      <c r="I101" s="594"/>
      <c r="J101" s="594"/>
      <c r="K101" s="594"/>
      <c r="L101" s="594"/>
      <c r="M101" s="594"/>
      <c r="N101" s="595"/>
      <c r="O101" s="594"/>
      <c r="P101" s="594"/>
      <c r="Q101" s="594"/>
      <c r="R101" s="594"/>
      <c r="S101" s="594"/>
      <c r="T101" s="594"/>
      <c r="U101" s="594"/>
      <c r="V101" s="594"/>
      <c r="W101" s="594"/>
      <c r="X101" s="594"/>
      <c r="Y101" s="595"/>
      <c r="Z101" s="604"/>
      <c r="AA101" s="605"/>
      <c r="AB101" s="605"/>
      <c r="AC101" s="606"/>
      <c r="AD101" s="607"/>
      <c r="AE101" s="608"/>
      <c r="AF101" s="608"/>
      <c r="AG101" s="440"/>
      <c r="AH101" s="440"/>
      <c r="AI101" s="440"/>
      <c r="AJ101" s="584"/>
      <c r="AK101" s="609"/>
      <c r="AL101" s="607"/>
      <c r="AM101" s="607"/>
      <c r="AN101" s="608"/>
      <c r="AO101" s="608"/>
      <c r="AP101" s="440"/>
      <c r="AQ101" s="609"/>
    </row>
    <row r="102" spans="1:43" x14ac:dyDescent="0.2">
      <c r="A102" s="602"/>
      <c r="B102" s="603" t="s">
        <v>439</v>
      </c>
      <c r="C102" s="593"/>
      <c r="D102" s="594"/>
      <c r="E102" s="594"/>
      <c r="F102" s="594"/>
      <c r="G102" s="594"/>
      <c r="H102" s="594"/>
      <c r="I102" s="594"/>
      <c r="J102" s="594"/>
      <c r="K102" s="594"/>
      <c r="L102" s="594"/>
      <c r="M102" s="594"/>
      <c r="N102" s="595"/>
      <c r="O102" s="594"/>
      <c r="P102" s="594"/>
      <c r="Q102" s="594"/>
      <c r="R102" s="594"/>
      <c r="S102" s="594"/>
      <c r="T102" s="594"/>
      <c r="U102" s="594"/>
      <c r="V102" s="594"/>
      <c r="W102" s="594"/>
      <c r="X102" s="594"/>
      <c r="Y102" s="595"/>
      <c r="Z102" s="604"/>
      <c r="AA102" s="605"/>
      <c r="AB102" s="605"/>
      <c r="AC102" s="606"/>
      <c r="AD102" s="607"/>
      <c r="AE102" s="608"/>
      <c r="AF102" s="608"/>
      <c r="AG102" s="440"/>
      <c r="AH102" s="440"/>
      <c r="AI102" s="440"/>
      <c r="AJ102" s="584"/>
      <c r="AK102" s="609"/>
      <c r="AL102" s="607"/>
      <c r="AM102" s="607"/>
      <c r="AN102" s="608"/>
      <c r="AO102" s="608"/>
      <c r="AP102" s="440"/>
      <c r="AQ102" s="609"/>
    </row>
    <row r="103" spans="1:43" x14ac:dyDescent="0.2">
      <c r="A103" s="602"/>
      <c r="B103" s="603" t="s">
        <v>440</v>
      </c>
      <c r="C103" s="593"/>
      <c r="D103" s="594"/>
      <c r="E103" s="594"/>
      <c r="F103" s="594"/>
      <c r="G103" s="594"/>
      <c r="H103" s="594"/>
      <c r="I103" s="594"/>
      <c r="J103" s="594"/>
      <c r="K103" s="594"/>
      <c r="L103" s="594"/>
      <c r="M103" s="594"/>
      <c r="N103" s="595"/>
      <c r="O103" s="594"/>
      <c r="P103" s="594"/>
      <c r="Q103" s="594"/>
      <c r="R103" s="594"/>
      <c r="S103" s="594"/>
      <c r="T103" s="594"/>
      <c r="U103" s="594"/>
      <c r="V103" s="594"/>
      <c r="W103" s="594"/>
      <c r="X103" s="594"/>
      <c r="Y103" s="595"/>
      <c r="Z103" s="604"/>
      <c r="AA103" s="605"/>
      <c r="AB103" s="605"/>
      <c r="AC103" s="606"/>
      <c r="AD103" s="607"/>
      <c r="AE103" s="608"/>
      <c r="AF103" s="608"/>
      <c r="AG103" s="440"/>
      <c r="AH103" s="440"/>
      <c r="AI103" s="440"/>
      <c r="AJ103" s="584"/>
      <c r="AK103" s="609"/>
      <c r="AL103" s="607"/>
      <c r="AM103" s="607"/>
      <c r="AN103" s="608"/>
      <c r="AO103" s="608"/>
      <c r="AP103" s="440"/>
      <c r="AQ103" s="609"/>
    </row>
    <row r="104" spans="1:43" x14ac:dyDescent="0.2">
      <c r="A104" s="602"/>
      <c r="B104" s="603" t="s">
        <v>441</v>
      </c>
      <c r="C104" s="593"/>
      <c r="D104" s="594"/>
      <c r="E104" s="594"/>
      <c r="F104" s="594"/>
      <c r="G104" s="594"/>
      <c r="H104" s="594"/>
      <c r="I104" s="594"/>
      <c r="J104" s="594"/>
      <c r="K104" s="594"/>
      <c r="L104" s="594"/>
      <c r="M104" s="594"/>
      <c r="N104" s="595"/>
      <c r="O104" s="594"/>
      <c r="P104" s="594"/>
      <c r="Q104" s="594"/>
      <c r="R104" s="594"/>
      <c r="S104" s="594"/>
      <c r="T104" s="594"/>
      <c r="U104" s="594"/>
      <c r="V104" s="594"/>
      <c r="W104" s="594"/>
      <c r="X104" s="594"/>
      <c r="Y104" s="595"/>
      <c r="Z104" s="604"/>
      <c r="AA104" s="605"/>
      <c r="AB104" s="605"/>
      <c r="AC104" s="606"/>
      <c r="AD104" s="607"/>
      <c r="AE104" s="608"/>
      <c r="AF104" s="608"/>
      <c r="AG104" s="440"/>
      <c r="AH104" s="440"/>
      <c r="AI104" s="440"/>
      <c r="AJ104" s="584"/>
      <c r="AK104" s="609"/>
      <c r="AL104" s="607"/>
      <c r="AM104" s="607"/>
      <c r="AN104" s="608"/>
      <c r="AO104" s="608"/>
      <c r="AP104" s="440"/>
      <c r="AQ104" s="609"/>
    </row>
    <row r="105" spans="1:43" ht="24" x14ac:dyDescent="0.2">
      <c r="A105" s="602"/>
      <c r="B105" s="603" t="s">
        <v>442</v>
      </c>
      <c r="C105" s="593"/>
      <c r="D105" s="594"/>
      <c r="E105" s="594"/>
      <c r="F105" s="594"/>
      <c r="G105" s="594"/>
      <c r="H105" s="594"/>
      <c r="I105" s="594"/>
      <c r="J105" s="594"/>
      <c r="K105" s="594"/>
      <c r="L105" s="594"/>
      <c r="M105" s="594"/>
      <c r="N105" s="595"/>
      <c r="O105" s="594"/>
      <c r="P105" s="594"/>
      <c r="Q105" s="594"/>
      <c r="R105" s="594"/>
      <c r="S105" s="594"/>
      <c r="T105" s="594"/>
      <c r="U105" s="594"/>
      <c r="V105" s="594"/>
      <c r="W105" s="594"/>
      <c r="X105" s="594"/>
      <c r="Y105" s="595"/>
      <c r="Z105" s="604"/>
      <c r="AA105" s="605"/>
      <c r="AB105" s="605"/>
      <c r="AC105" s="606"/>
      <c r="AD105" s="607"/>
      <c r="AE105" s="608"/>
      <c r="AF105" s="608"/>
      <c r="AG105" s="440"/>
      <c r="AH105" s="440"/>
      <c r="AI105" s="440"/>
      <c r="AJ105" s="584"/>
      <c r="AK105" s="609"/>
      <c r="AL105" s="607"/>
      <c r="AM105" s="607"/>
      <c r="AN105" s="608"/>
      <c r="AO105" s="608"/>
      <c r="AP105" s="440"/>
      <c r="AQ105" s="609"/>
    </row>
    <row r="106" spans="1:43" ht="24" x14ac:dyDescent="0.2">
      <c r="A106" s="602"/>
      <c r="B106" s="603" t="s">
        <v>443</v>
      </c>
      <c r="C106" s="593"/>
      <c r="D106" s="594"/>
      <c r="E106" s="594"/>
      <c r="F106" s="594"/>
      <c r="G106" s="594"/>
      <c r="H106" s="594"/>
      <c r="I106" s="594"/>
      <c r="J106" s="594"/>
      <c r="K106" s="594"/>
      <c r="L106" s="594"/>
      <c r="M106" s="594"/>
      <c r="N106" s="595"/>
      <c r="O106" s="594"/>
      <c r="P106" s="594"/>
      <c r="Q106" s="594"/>
      <c r="R106" s="594"/>
      <c r="S106" s="594"/>
      <c r="T106" s="594"/>
      <c r="U106" s="594"/>
      <c r="V106" s="594"/>
      <c r="W106" s="594"/>
      <c r="X106" s="594"/>
      <c r="Y106" s="595"/>
      <c r="Z106" s="604"/>
      <c r="AA106" s="605"/>
      <c r="AB106" s="605"/>
      <c r="AC106" s="606"/>
      <c r="AD106" s="607"/>
      <c r="AE106" s="608"/>
      <c r="AF106" s="608"/>
      <c r="AG106" s="440"/>
      <c r="AH106" s="440"/>
      <c r="AI106" s="440"/>
      <c r="AJ106" s="584"/>
      <c r="AK106" s="609"/>
      <c r="AL106" s="607"/>
      <c r="AM106" s="607"/>
      <c r="AN106" s="608"/>
      <c r="AO106" s="608"/>
      <c r="AP106" s="440"/>
      <c r="AQ106" s="609"/>
    </row>
    <row r="107" spans="1:43" x14ac:dyDescent="0.2">
      <c r="A107" s="602"/>
      <c r="B107" s="603" t="s">
        <v>444</v>
      </c>
      <c r="C107" s="593"/>
      <c r="D107" s="594"/>
      <c r="E107" s="594"/>
      <c r="F107" s="594"/>
      <c r="G107" s="594"/>
      <c r="H107" s="594"/>
      <c r="I107" s="594"/>
      <c r="J107" s="594"/>
      <c r="K107" s="594"/>
      <c r="L107" s="594"/>
      <c r="M107" s="594"/>
      <c r="N107" s="595"/>
      <c r="O107" s="594"/>
      <c r="P107" s="594"/>
      <c r="Q107" s="594"/>
      <c r="R107" s="594"/>
      <c r="S107" s="594"/>
      <c r="T107" s="594"/>
      <c r="U107" s="594"/>
      <c r="V107" s="594"/>
      <c r="W107" s="594"/>
      <c r="X107" s="594"/>
      <c r="Y107" s="595"/>
      <c r="Z107" s="604"/>
      <c r="AA107" s="605"/>
      <c r="AB107" s="605"/>
      <c r="AC107" s="606"/>
      <c r="AD107" s="607"/>
      <c r="AE107" s="608"/>
      <c r="AF107" s="608"/>
      <c r="AG107" s="440"/>
      <c r="AH107" s="440"/>
      <c r="AI107" s="440"/>
      <c r="AJ107" s="584"/>
      <c r="AK107" s="609"/>
      <c r="AL107" s="607"/>
      <c r="AM107" s="607"/>
      <c r="AN107" s="608"/>
      <c r="AO107" s="608"/>
      <c r="AP107" s="440"/>
      <c r="AQ107" s="609"/>
    </row>
    <row r="108" spans="1:43" x14ac:dyDescent="0.2">
      <c r="A108" s="602"/>
      <c r="B108" s="603" t="s">
        <v>445</v>
      </c>
      <c r="C108" s="593"/>
      <c r="D108" s="594"/>
      <c r="E108" s="594"/>
      <c r="F108" s="594"/>
      <c r="G108" s="594"/>
      <c r="H108" s="594"/>
      <c r="I108" s="594"/>
      <c r="J108" s="594"/>
      <c r="K108" s="594"/>
      <c r="L108" s="594"/>
      <c r="M108" s="594"/>
      <c r="N108" s="595"/>
      <c r="O108" s="594"/>
      <c r="P108" s="594"/>
      <c r="Q108" s="594"/>
      <c r="R108" s="594"/>
      <c r="S108" s="594"/>
      <c r="T108" s="594"/>
      <c r="U108" s="594"/>
      <c r="V108" s="594"/>
      <c r="W108" s="594"/>
      <c r="X108" s="594"/>
      <c r="Y108" s="595"/>
      <c r="Z108" s="604"/>
      <c r="AA108" s="605"/>
      <c r="AB108" s="605"/>
      <c r="AC108" s="606"/>
      <c r="AD108" s="607"/>
      <c r="AE108" s="608"/>
      <c r="AF108" s="608"/>
      <c r="AG108" s="440"/>
      <c r="AH108" s="440"/>
      <c r="AI108" s="440"/>
      <c r="AJ108" s="584"/>
      <c r="AK108" s="609"/>
      <c r="AL108" s="607"/>
      <c r="AM108" s="607"/>
      <c r="AN108" s="608"/>
      <c r="AO108" s="608"/>
      <c r="AP108" s="440"/>
      <c r="AQ108" s="609"/>
    </row>
    <row r="109" spans="1:43" x14ac:dyDescent="0.2">
      <c r="A109" s="602"/>
      <c r="B109" s="603" t="s">
        <v>446</v>
      </c>
      <c r="C109" s="593"/>
      <c r="D109" s="594"/>
      <c r="E109" s="594"/>
      <c r="F109" s="594"/>
      <c r="G109" s="594"/>
      <c r="H109" s="594"/>
      <c r="I109" s="594"/>
      <c r="J109" s="594"/>
      <c r="K109" s="594"/>
      <c r="L109" s="594"/>
      <c r="M109" s="594"/>
      <c r="N109" s="595"/>
      <c r="O109" s="594"/>
      <c r="P109" s="594"/>
      <c r="Q109" s="594"/>
      <c r="R109" s="594"/>
      <c r="S109" s="594"/>
      <c r="T109" s="594"/>
      <c r="U109" s="594"/>
      <c r="V109" s="594"/>
      <c r="W109" s="594"/>
      <c r="X109" s="594"/>
      <c r="Y109" s="595"/>
      <c r="Z109" s="604"/>
      <c r="AA109" s="605"/>
      <c r="AB109" s="605"/>
      <c r="AC109" s="606"/>
      <c r="AD109" s="607"/>
      <c r="AE109" s="608"/>
      <c r="AF109" s="608"/>
      <c r="AG109" s="440"/>
      <c r="AH109" s="440"/>
      <c r="AI109" s="440"/>
      <c r="AJ109" s="584"/>
      <c r="AK109" s="609"/>
      <c r="AL109" s="607"/>
      <c r="AM109" s="607"/>
      <c r="AN109" s="608"/>
      <c r="AO109" s="608"/>
      <c r="AP109" s="440"/>
      <c r="AQ109" s="609"/>
    </row>
    <row r="110" spans="1:43" ht="24" x14ac:dyDescent="0.2">
      <c r="A110" s="602"/>
      <c r="B110" s="603" t="s">
        <v>447</v>
      </c>
      <c r="C110" s="593"/>
      <c r="D110" s="594"/>
      <c r="E110" s="594"/>
      <c r="F110" s="594"/>
      <c r="G110" s="594"/>
      <c r="H110" s="594"/>
      <c r="I110" s="594"/>
      <c r="J110" s="594"/>
      <c r="K110" s="594"/>
      <c r="L110" s="594"/>
      <c r="M110" s="594"/>
      <c r="N110" s="595"/>
      <c r="O110" s="594"/>
      <c r="P110" s="594"/>
      <c r="Q110" s="594"/>
      <c r="R110" s="594"/>
      <c r="S110" s="594"/>
      <c r="T110" s="594"/>
      <c r="U110" s="594"/>
      <c r="V110" s="594"/>
      <c r="W110" s="594"/>
      <c r="X110" s="594"/>
      <c r="Y110" s="595"/>
      <c r="Z110" s="604"/>
      <c r="AA110" s="605"/>
      <c r="AB110" s="605"/>
      <c r="AC110" s="606"/>
      <c r="AD110" s="607"/>
      <c r="AE110" s="608"/>
      <c r="AF110" s="608"/>
      <c r="AG110" s="440"/>
      <c r="AH110" s="440"/>
      <c r="AI110" s="440"/>
      <c r="AJ110" s="584"/>
      <c r="AK110" s="609"/>
      <c r="AL110" s="607"/>
      <c r="AM110" s="607"/>
      <c r="AN110" s="608"/>
      <c r="AO110" s="608"/>
      <c r="AP110" s="440"/>
      <c r="AQ110" s="609"/>
    </row>
    <row r="111" spans="1:43" ht="24" x14ac:dyDescent="0.2">
      <c r="A111" s="602"/>
      <c r="B111" s="603" t="s">
        <v>448</v>
      </c>
      <c r="C111" s="593"/>
      <c r="D111" s="594"/>
      <c r="E111" s="594"/>
      <c r="F111" s="594"/>
      <c r="G111" s="594"/>
      <c r="H111" s="594"/>
      <c r="I111" s="594"/>
      <c r="J111" s="594"/>
      <c r="K111" s="594"/>
      <c r="L111" s="594"/>
      <c r="M111" s="594"/>
      <c r="N111" s="595"/>
      <c r="O111" s="594"/>
      <c r="P111" s="594"/>
      <c r="Q111" s="594"/>
      <c r="R111" s="594"/>
      <c r="S111" s="594"/>
      <c r="T111" s="594"/>
      <c r="U111" s="594"/>
      <c r="V111" s="594"/>
      <c r="W111" s="594"/>
      <c r="X111" s="594"/>
      <c r="Y111" s="595"/>
      <c r="Z111" s="604"/>
      <c r="AA111" s="605"/>
      <c r="AB111" s="605"/>
      <c r="AC111" s="606"/>
      <c r="AD111" s="607"/>
      <c r="AE111" s="608"/>
      <c r="AF111" s="608"/>
      <c r="AG111" s="440"/>
      <c r="AH111" s="440"/>
      <c r="AI111" s="440"/>
      <c r="AJ111" s="584"/>
      <c r="AK111" s="609"/>
      <c r="AL111" s="607"/>
      <c r="AM111" s="607"/>
      <c r="AN111" s="608"/>
      <c r="AO111" s="608"/>
      <c r="AP111" s="440"/>
      <c r="AQ111" s="609"/>
    </row>
    <row r="112" spans="1:43" ht="24" x14ac:dyDescent="0.2">
      <c r="A112" s="602"/>
      <c r="B112" s="603" t="s">
        <v>449</v>
      </c>
      <c r="C112" s="593"/>
      <c r="D112" s="594"/>
      <c r="E112" s="594"/>
      <c r="F112" s="594"/>
      <c r="G112" s="594"/>
      <c r="H112" s="594"/>
      <c r="I112" s="594"/>
      <c r="J112" s="594"/>
      <c r="K112" s="594"/>
      <c r="L112" s="594"/>
      <c r="M112" s="594"/>
      <c r="N112" s="595"/>
      <c r="O112" s="594"/>
      <c r="P112" s="594"/>
      <c r="Q112" s="594"/>
      <c r="R112" s="594"/>
      <c r="S112" s="594"/>
      <c r="T112" s="594"/>
      <c r="U112" s="594"/>
      <c r="V112" s="594"/>
      <c r="W112" s="594"/>
      <c r="X112" s="594"/>
      <c r="Y112" s="595"/>
      <c r="Z112" s="604"/>
      <c r="AA112" s="605"/>
      <c r="AB112" s="605"/>
      <c r="AC112" s="606"/>
      <c r="AD112" s="607"/>
      <c r="AE112" s="608"/>
      <c r="AF112" s="608"/>
      <c r="AG112" s="440"/>
      <c r="AH112" s="440"/>
      <c r="AI112" s="440"/>
      <c r="AJ112" s="584"/>
      <c r="AK112" s="609"/>
      <c r="AL112" s="607"/>
      <c r="AM112" s="607"/>
      <c r="AN112" s="608"/>
      <c r="AO112" s="608"/>
      <c r="AP112" s="440"/>
      <c r="AQ112" s="609"/>
    </row>
    <row r="113" spans="1:43" x14ac:dyDescent="0.2">
      <c r="A113" s="602"/>
      <c r="B113" s="603" t="s">
        <v>450</v>
      </c>
      <c r="C113" s="593"/>
      <c r="D113" s="594"/>
      <c r="E113" s="594"/>
      <c r="F113" s="594"/>
      <c r="G113" s="594"/>
      <c r="H113" s="594"/>
      <c r="I113" s="594"/>
      <c r="J113" s="594"/>
      <c r="K113" s="594"/>
      <c r="L113" s="594"/>
      <c r="M113" s="594"/>
      <c r="N113" s="595"/>
      <c r="O113" s="594"/>
      <c r="P113" s="594"/>
      <c r="Q113" s="594"/>
      <c r="R113" s="594"/>
      <c r="S113" s="594"/>
      <c r="T113" s="594"/>
      <c r="U113" s="594"/>
      <c r="V113" s="594"/>
      <c r="W113" s="594"/>
      <c r="X113" s="594"/>
      <c r="Y113" s="595"/>
      <c r="Z113" s="604"/>
      <c r="AA113" s="605"/>
      <c r="AB113" s="605"/>
      <c r="AC113" s="606"/>
      <c r="AD113" s="607"/>
      <c r="AE113" s="608"/>
      <c r="AF113" s="608"/>
      <c r="AG113" s="440"/>
      <c r="AH113" s="440"/>
      <c r="AI113" s="440"/>
      <c r="AJ113" s="584"/>
      <c r="AK113" s="609"/>
      <c r="AL113" s="607"/>
      <c r="AM113" s="607"/>
      <c r="AN113" s="608"/>
      <c r="AO113" s="608"/>
      <c r="AP113" s="440"/>
      <c r="AQ113" s="609"/>
    </row>
    <row r="114" spans="1:43" ht="24" x14ac:dyDescent="0.2">
      <c r="A114" s="602"/>
      <c r="B114" s="603" t="s">
        <v>451</v>
      </c>
      <c r="C114" s="593"/>
      <c r="D114" s="594"/>
      <c r="E114" s="594"/>
      <c r="F114" s="594"/>
      <c r="G114" s="594"/>
      <c r="H114" s="594"/>
      <c r="I114" s="594"/>
      <c r="J114" s="594"/>
      <c r="K114" s="594"/>
      <c r="L114" s="594"/>
      <c r="M114" s="594"/>
      <c r="N114" s="595"/>
      <c r="O114" s="594"/>
      <c r="P114" s="594"/>
      <c r="Q114" s="594"/>
      <c r="R114" s="594"/>
      <c r="S114" s="594"/>
      <c r="T114" s="594"/>
      <c r="U114" s="594"/>
      <c r="V114" s="594"/>
      <c r="W114" s="594"/>
      <c r="X114" s="594"/>
      <c r="Y114" s="595"/>
      <c r="Z114" s="604"/>
      <c r="AA114" s="605"/>
      <c r="AB114" s="605"/>
      <c r="AC114" s="606"/>
      <c r="AD114" s="607"/>
      <c r="AE114" s="608"/>
      <c r="AF114" s="608"/>
      <c r="AG114" s="440"/>
      <c r="AH114" s="440"/>
      <c r="AI114" s="440"/>
      <c r="AJ114" s="584"/>
      <c r="AK114" s="609"/>
      <c r="AL114" s="607"/>
      <c r="AM114" s="607"/>
      <c r="AN114" s="608"/>
      <c r="AO114" s="608"/>
      <c r="AP114" s="440"/>
      <c r="AQ114" s="609"/>
    </row>
    <row r="115" spans="1:43" x14ac:dyDescent="0.2">
      <c r="A115" s="602"/>
      <c r="B115" s="603" t="s">
        <v>453</v>
      </c>
      <c r="C115" s="593"/>
      <c r="D115" s="594"/>
      <c r="E115" s="594"/>
      <c r="F115" s="594"/>
      <c r="G115" s="594"/>
      <c r="H115" s="594"/>
      <c r="I115" s="594"/>
      <c r="J115" s="594"/>
      <c r="K115" s="594"/>
      <c r="L115" s="594"/>
      <c r="M115" s="594"/>
      <c r="N115" s="595"/>
      <c r="O115" s="594"/>
      <c r="P115" s="594"/>
      <c r="Q115" s="594"/>
      <c r="R115" s="594"/>
      <c r="S115" s="594"/>
      <c r="T115" s="594"/>
      <c r="U115" s="594"/>
      <c r="V115" s="594"/>
      <c r="W115" s="594"/>
      <c r="X115" s="594"/>
      <c r="Y115" s="595"/>
      <c r="Z115" s="604"/>
      <c r="AA115" s="605"/>
      <c r="AB115" s="605"/>
      <c r="AC115" s="606"/>
      <c r="AD115" s="607"/>
      <c r="AE115" s="608"/>
      <c r="AF115" s="608"/>
      <c r="AG115" s="440"/>
      <c r="AH115" s="440"/>
      <c r="AI115" s="440"/>
      <c r="AJ115" s="584"/>
      <c r="AK115" s="609"/>
      <c r="AL115" s="607"/>
      <c r="AM115" s="607"/>
      <c r="AN115" s="608"/>
      <c r="AO115" s="608"/>
      <c r="AP115" s="440"/>
      <c r="AQ115" s="609"/>
    </row>
    <row r="116" spans="1:43" x14ac:dyDescent="0.2">
      <c r="A116" s="591" t="s">
        <v>148</v>
      </c>
      <c r="B116" s="592"/>
      <c r="C116" s="615"/>
      <c r="D116" s="616"/>
      <c r="E116" s="616"/>
      <c r="F116" s="616"/>
      <c r="G116" s="616"/>
      <c r="H116" s="616"/>
      <c r="I116" s="616"/>
      <c r="J116" s="616"/>
      <c r="K116" s="616"/>
      <c r="L116" s="616"/>
      <c r="M116" s="616"/>
      <c r="N116" s="617"/>
      <c r="O116" s="616"/>
      <c r="P116" s="616"/>
      <c r="Q116" s="616"/>
      <c r="R116" s="616"/>
      <c r="S116" s="616"/>
      <c r="T116" s="616"/>
      <c r="U116" s="616"/>
      <c r="V116" s="616"/>
      <c r="W116" s="616"/>
      <c r="X116" s="616"/>
      <c r="Y116" s="617"/>
      <c r="Z116" s="618"/>
      <c r="AA116" s="619"/>
      <c r="AB116" s="619"/>
      <c r="AC116" s="620"/>
      <c r="AD116" s="599"/>
      <c r="AE116" s="600"/>
      <c r="AF116" s="600"/>
      <c r="AG116" s="440">
        <v>0</v>
      </c>
      <c r="AH116" s="440">
        <v>0</v>
      </c>
      <c r="AI116" s="440">
        <v>0</v>
      </c>
      <c r="AJ116" s="584"/>
      <c r="AK116" s="621"/>
      <c r="AL116" s="599"/>
      <c r="AM116" s="599"/>
      <c r="AN116" s="600"/>
      <c r="AO116" s="600"/>
      <c r="AP116" s="440">
        <v>0</v>
      </c>
      <c r="AQ116" s="621"/>
    </row>
    <row r="117" spans="1:43" x14ac:dyDescent="0.2">
      <c r="A117" s="591"/>
      <c r="B117" s="592"/>
      <c r="C117" s="615"/>
      <c r="D117" s="616"/>
      <c r="E117" s="616"/>
      <c r="F117" s="616"/>
      <c r="G117" s="616"/>
      <c r="H117" s="616"/>
      <c r="I117" s="616"/>
      <c r="J117" s="616"/>
      <c r="K117" s="616"/>
      <c r="L117" s="616"/>
      <c r="M117" s="616"/>
      <c r="N117" s="617"/>
      <c r="O117" s="616"/>
      <c r="P117" s="616"/>
      <c r="Q117" s="616"/>
      <c r="R117" s="616"/>
      <c r="S117" s="616"/>
      <c r="T117" s="616"/>
      <c r="U117" s="616"/>
      <c r="V117" s="616"/>
      <c r="W117" s="616"/>
      <c r="X117" s="616"/>
      <c r="Y117" s="617"/>
      <c r="Z117" s="618"/>
      <c r="AA117" s="619"/>
      <c r="AB117" s="619"/>
      <c r="AC117" s="620"/>
      <c r="AD117" s="599"/>
      <c r="AE117" s="600"/>
      <c r="AF117" s="600"/>
      <c r="AG117" s="440"/>
      <c r="AH117" s="440"/>
      <c r="AI117" s="440"/>
      <c r="AJ117" s="584"/>
      <c r="AK117" s="621"/>
      <c r="AL117" s="599"/>
      <c r="AM117" s="599"/>
      <c r="AN117" s="600"/>
      <c r="AO117" s="600"/>
      <c r="AP117" s="440"/>
      <c r="AQ117" s="621"/>
    </row>
    <row r="118" spans="1:43" ht="24.75" thickBot="1" x14ac:dyDescent="0.25">
      <c r="A118" s="614" t="s">
        <v>484</v>
      </c>
      <c r="B118" s="614"/>
      <c r="C118" s="255"/>
      <c r="D118" s="256"/>
      <c r="E118" s="256"/>
      <c r="F118" s="256"/>
      <c r="G118" s="256"/>
      <c r="H118" s="256"/>
      <c r="I118" s="256"/>
      <c r="J118" s="256"/>
      <c r="K118" s="256"/>
      <c r="L118" s="256"/>
      <c r="M118" s="256"/>
      <c r="N118" s="257"/>
      <c r="O118" s="256"/>
      <c r="P118" s="256"/>
      <c r="Q118" s="256"/>
      <c r="R118" s="256"/>
      <c r="S118" s="256"/>
      <c r="T118" s="256"/>
      <c r="U118" s="256"/>
      <c r="V118" s="256"/>
      <c r="W118" s="256"/>
      <c r="X118" s="256"/>
      <c r="Y118" s="257"/>
      <c r="Z118" s="481"/>
      <c r="AA118" s="482"/>
      <c r="AB118" s="482"/>
      <c r="AC118" s="483"/>
      <c r="AD118" s="443"/>
      <c r="AE118" s="225"/>
      <c r="AF118" s="225"/>
      <c r="AG118" s="477">
        <f t="shared" si="0"/>
        <v>0</v>
      </c>
      <c r="AH118" s="477">
        <f t="shared" si="1"/>
        <v>0</v>
      </c>
      <c r="AI118" s="477">
        <f t="shared" si="2"/>
        <v>0</v>
      </c>
      <c r="AJ118" s="585"/>
      <c r="AK118" s="445"/>
      <c r="AL118" s="443"/>
      <c r="AM118" s="443"/>
      <c r="AN118" s="225"/>
      <c r="AO118" s="225"/>
      <c r="AP118" s="440">
        <f t="shared" si="3"/>
        <v>0</v>
      </c>
      <c r="AQ118" s="445"/>
    </row>
    <row r="119" spans="1:43" ht="12.75" thickBot="1" x14ac:dyDescent="0.25">
      <c r="A119" s="205" t="s">
        <v>149</v>
      </c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475"/>
      <c r="AA119" s="475"/>
      <c r="AB119" s="475"/>
      <c r="AC119" s="475">
        <f t="shared" ref="AC119:AI119" si="4">SUM(AC6:AC118)</f>
        <v>0</v>
      </c>
      <c r="AD119" s="220">
        <f t="shared" si="4"/>
        <v>0</v>
      </c>
      <c r="AE119" s="220">
        <f t="shared" si="4"/>
        <v>0</v>
      </c>
      <c r="AF119" s="220">
        <f t="shared" si="4"/>
        <v>0</v>
      </c>
      <c r="AG119" s="222">
        <f t="shared" si="4"/>
        <v>0</v>
      </c>
      <c r="AH119" s="222">
        <f t="shared" si="4"/>
        <v>0</v>
      </c>
      <c r="AI119" s="222">
        <f t="shared" si="4"/>
        <v>0</v>
      </c>
      <c r="AJ119" s="237">
        <v>0</v>
      </c>
      <c r="AK119" s="236"/>
      <c r="AL119" s="220"/>
      <c r="AM119" s="220">
        <f>SUM(AM6:AM118)</f>
        <v>0</v>
      </c>
      <c r="AN119" s="220">
        <f>SUM(AN6:AN118)</f>
        <v>0</v>
      </c>
      <c r="AO119" s="220">
        <f>SUM(AO6:AO118)</f>
        <v>0</v>
      </c>
      <c r="AP119" s="222">
        <f>SUM(AP6:AP118)</f>
        <v>0</v>
      </c>
      <c r="AQ119" s="222"/>
    </row>
    <row r="122" spans="1:43" ht="15.75" x14ac:dyDescent="0.25">
      <c r="AG122" s="123"/>
    </row>
    <row r="124" spans="1:43" x14ac:dyDescent="0.2">
      <c r="A124" s="116" t="s">
        <v>687</v>
      </c>
      <c r="B124" s="116">
        <f>('Indik_rozp.-ALFABASE'!AD120+Indik_rozp.YMS!AD120+'Indik_rozp.-ASPECTA'!AD120)/3</f>
        <v>11223.666666666666</v>
      </c>
    </row>
  </sheetData>
  <mergeCells count="7">
    <mergeCell ref="A1:B1"/>
    <mergeCell ref="C1:AQ1"/>
    <mergeCell ref="AL2:AQ2"/>
    <mergeCell ref="AQ4:AQ5"/>
    <mergeCell ref="Z2:AK2"/>
    <mergeCell ref="Z3:AC3"/>
    <mergeCell ref="AD3:AK3"/>
  </mergeCells>
  <conditionalFormatting sqref="C6:AC118">
    <cfRule type="colorScale" priority="1">
      <colorScale>
        <cfvo type="num" val="0"/>
        <cfvo type="num" val="1"/>
        <color theme="0"/>
        <color theme="2" tint="-0.249977111117893"/>
      </colorScale>
    </cfRule>
  </conditionalFormatting>
  <pageMargins left="0.7" right="0.7" top="0.75" bottom="0.75" header="0.3" footer="0.3"/>
  <pageSetup paperSize="9" scale="19" orientation="portrait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CC"/>
  </sheetPr>
  <dimension ref="A1:AQ122"/>
  <sheetViews>
    <sheetView showGridLines="0" zoomScaleNormal="100" zoomScaleSheetLayoutView="90" workbookViewId="0">
      <pane ySplit="5" topLeftCell="A6" activePane="bottomLeft" state="frozen"/>
      <selection activeCell="C47" sqref="C47"/>
      <selection pane="bottomLeft" activeCell="C47" sqref="C47"/>
    </sheetView>
  </sheetViews>
  <sheetFormatPr defaultColWidth="8.5703125" defaultRowHeight="12" x14ac:dyDescent="0.2"/>
  <cols>
    <col min="1" max="1" width="16.42578125" style="116" customWidth="1"/>
    <col min="2" max="2" width="40.140625" style="116" customWidth="1"/>
    <col min="3" max="3" width="3.42578125" style="116" customWidth="1"/>
    <col min="4" max="24" width="3.5703125" style="116" customWidth="1"/>
    <col min="25" max="25" width="4.42578125" style="116" customWidth="1"/>
    <col min="26" max="28" width="16.42578125" style="116" customWidth="1"/>
    <col min="29" max="29" width="18.140625" style="116" customWidth="1"/>
    <col min="30" max="30" width="9" style="116" customWidth="1"/>
    <col min="31" max="31" width="9.140625" style="116" customWidth="1"/>
    <col min="32" max="32" width="9" style="116" customWidth="1"/>
    <col min="33" max="33" width="10.5703125" style="117" customWidth="1"/>
    <col min="34" max="36" width="10.5703125" style="116" customWidth="1"/>
    <col min="37" max="37" width="52.140625" style="116" customWidth="1"/>
    <col min="38" max="38" width="51.5703125" style="116" customWidth="1"/>
    <col min="39" max="42" width="8.5703125" style="116"/>
    <col min="43" max="43" width="18.85546875" style="116" customWidth="1"/>
    <col min="44" max="16384" width="8.5703125" style="116"/>
  </cols>
  <sheetData>
    <row r="1" spans="1:43" ht="26.1" customHeight="1" thickBot="1" x14ac:dyDescent="0.3">
      <c r="A1" s="1374" t="s">
        <v>195</v>
      </c>
      <c r="B1" s="1375"/>
      <c r="C1" s="1374" t="s">
        <v>671</v>
      </c>
      <c r="D1" s="1376"/>
      <c r="E1" s="1376"/>
      <c r="F1" s="1376"/>
      <c r="G1" s="1376"/>
      <c r="H1" s="1376"/>
      <c r="I1" s="1376"/>
      <c r="J1" s="1376"/>
      <c r="K1" s="1376"/>
      <c r="L1" s="1376"/>
      <c r="M1" s="1376"/>
      <c r="N1" s="1376"/>
      <c r="O1" s="1376"/>
      <c r="P1" s="1376"/>
      <c r="Q1" s="1376"/>
      <c r="R1" s="1376"/>
      <c r="S1" s="1376"/>
      <c r="T1" s="1376"/>
      <c r="U1" s="1376"/>
      <c r="V1" s="1376"/>
      <c r="W1" s="1376"/>
      <c r="X1" s="1376"/>
      <c r="Y1" s="1376"/>
      <c r="Z1" s="1376"/>
      <c r="AA1" s="1376"/>
      <c r="AB1" s="1376"/>
      <c r="AC1" s="1376"/>
      <c r="AD1" s="1376"/>
      <c r="AE1" s="1376"/>
      <c r="AF1" s="1376"/>
      <c r="AG1" s="1376"/>
      <c r="AH1" s="1376"/>
      <c r="AI1" s="1376"/>
      <c r="AJ1" s="1376"/>
      <c r="AK1" s="1376"/>
      <c r="AL1" s="1376"/>
      <c r="AM1" s="1376"/>
      <c r="AN1" s="1376"/>
      <c r="AO1" s="1376"/>
      <c r="AP1" s="1376"/>
      <c r="AQ1" s="1376"/>
    </row>
    <row r="2" spans="1:43" ht="12.75" thickBot="1" x14ac:dyDescent="0.25">
      <c r="A2" s="213"/>
      <c r="B2" s="212"/>
      <c r="C2" s="214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5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5"/>
      <c r="Z2" s="1382" t="s">
        <v>228</v>
      </c>
      <c r="AA2" s="1383"/>
      <c r="AB2" s="1383"/>
      <c r="AC2" s="1383"/>
      <c r="AD2" s="1383"/>
      <c r="AE2" s="1383"/>
      <c r="AF2" s="1383"/>
      <c r="AG2" s="1383"/>
      <c r="AH2" s="1383"/>
      <c r="AI2" s="1383"/>
      <c r="AJ2" s="1383"/>
      <c r="AK2" s="1384"/>
      <c r="AL2" s="1377" t="s">
        <v>227</v>
      </c>
      <c r="AM2" s="1378"/>
      <c r="AN2" s="1378"/>
      <c r="AO2" s="1378"/>
      <c r="AP2" s="1378"/>
      <c r="AQ2" s="1379"/>
    </row>
    <row r="3" spans="1:43" ht="11.1" customHeight="1" thickBot="1" x14ac:dyDescent="0.25">
      <c r="A3" s="242"/>
      <c r="B3" s="240"/>
      <c r="C3" s="241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39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39"/>
      <c r="Z3" s="1377" t="s">
        <v>281</v>
      </c>
      <c r="AA3" s="1378"/>
      <c r="AB3" s="1378"/>
      <c r="AC3" s="1378"/>
      <c r="AD3" s="1377" t="s">
        <v>282</v>
      </c>
      <c r="AE3" s="1378"/>
      <c r="AF3" s="1378"/>
      <c r="AG3" s="1378"/>
      <c r="AH3" s="1378"/>
      <c r="AI3" s="1378"/>
      <c r="AJ3" s="1378"/>
      <c r="AK3" s="1379"/>
      <c r="AL3" s="218"/>
      <c r="AM3" s="219"/>
      <c r="AN3" s="219"/>
      <c r="AO3" s="219"/>
      <c r="AP3" s="219"/>
      <c r="AQ3" s="210"/>
    </row>
    <row r="4" spans="1:43" ht="48" customHeight="1" x14ac:dyDescent="0.2">
      <c r="A4" s="242" t="s">
        <v>196</v>
      </c>
      <c r="B4" s="497" t="s">
        <v>293</v>
      </c>
      <c r="C4" s="241" t="s">
        <v>119</v>
      </c>
      <c r="D4" s="240" t="s">
        <v>120</v>
      </c>
      <c r="E4" s="240" t="s">
        <v>121</v>
      </c>
      <c r="F4" s="240" t="s">
        <v>122</v>
      </c>
      <c r="G4" s="240" t="s">
        <v>123</v>
      </c>
      <c r="H4" s="240" t="s">
        <v>124</v>
      </c>
      <c r="I4" s="240" t="s">
        <v>125</v>
      </c>
      <c r="J4" s="240" t="s">
        <v>126</v>
      </c>
      <c r="K4" s="240" t="s">
        <v>127</v>
      </c>
      <c r="L4" s="240" t="s">
        <v>128</v>
      </c>
      <c r="M4" s="240" t="s">
        <v>129</v>
      </c>
      <c r="N4" s="239" t="s">
        <v>130</v>
      </c>
      <c r="O4" s="240" t="s">
        <v>131</v>
      </c>
      <c r="P4" s="240" t="s">
        <v>132</v>
      </c>
      <c r="Q4" s="240" t="s">
        <v>133</v>
      </c>
      <c r="R4" s="240" t="s">
        <v>134</v>
      </c>
      <c r="S4" s="240" t="s">
        <v>135</v>
      </c>
      <c r="T4" s="240" t="s">
        <v>136</v>
      </c>
      <c r="U4" s="240" t="s">
        <v>137</v>
      </c>
      <c r="V4" s="240" t="s">
        <v>138</v>
      </c>
      <c r="W4" s="240" t="s">
        <v>139</v>
      </c>
      <c r="X4" s="240" t="s">
        <v>140</v>
      </c>
      <c r="Y4" s="239" t="s">
        <v>141</v>
      </c>
      <c r="Z4" s="214" t="s">
        <v>283</v>
      </c>
      <c r="AA4" s="212" t="s">
        <v>284</v>
      </c>
      <c r="AB4" s="212" t="s">
        <v>285</v>
      </c>
      <c r="AC4" s="212" t="s">
        <v>286</v>
      </c>
      <c r="AD4" s="216" t="s">
        <v>188</v>
      </c>
      <c r="AE4" s="217" t="s">
        <v>189</v>
      </c>
      <c r="AF4" s="217" t="s">
        <v>190</v>
      </c>
      <c r="AG4" s="210" t="s">
        <v>192</v>
      </c>
      <c r="AH4" s="210" t="s">
        <v>191</v>
      </c>
      <c r="AI4" s="210" t="s">
        <v>150</v>
      </c>
      <c r="AJ4" s="476" t="s">
        <v>194</v>
      </c>
      <c r="AK4" s="476" t="s">
        <v>197</v>
      </c>
      <c r="AL4" s="476" t="s">
        <v>226</v>
      </c>
      <c r="AM4" s="216" t="s">
        <v>188</v>
      </c>
      <c r="AN4" s="217" t="s">
        <v>189</v>
      </c>
      <c r="AO4" s="217" t="s">
        <v>190</v>
      </c>
      <c r="AP4" s="210" t="s">
        <v>192</v>
      </c>
      <c r="AQ4" s="1380" t="s">
        <v>225</v>
      </c>
    </row>
    <row r="5" spans="1:43" ht="8.25" customHeight="1" thickBot="1" x14ac:dyDescent="0.25">
      <c r="A5" s="118"/>
      <c r="B5" s="119"/>
      <c r="C5" s="120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21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21"/>
      <c r="Z5" s="120"/>
      <c r="AA5" s="119"/>
      <c r="AB5" s="119"/>
      <c r="AC5" s="119"/>
      <c r="AD5" s="218"/>
      <c r="AE5" s="219"/>
      <c r="AF5" s="219"/>
      <c r="AG5" s="221"/>
      <c r="AH5" s="221"/>
      <c r="AI5" s="221"/>
      <c r="AJ5" s="584"/>
      <c r="AK5" s="238"/>
      <c r="AL5" s="223"/>
      <c r="AM5" s="218"/>
      <c r="AN5" s="219"/>
      <c r="AO5" s="219"/>
      <c r="AP5" s="221"/>
      <c r="AQ5" s="1381"/>
    </row>
    <row r="6" spans="1:43" ht="36" x14ac:dyDescent="0.2">
      <c r="A6" s="591" t="s">
        <v>672</v>
      </c>
      <c r="B6" s="592" t="s">
        <v>375</v>
      </c>
      <c r="C6" s="869"/>
      <c r="D6" s="870"/>
      <c r="E6" s="870"/>
      <c r="F6" s="870"/>
      <c r="G6" s="870"/>
      <c r="H6" s="870"/>
      <c r="I6" s="870"/>
      <c r="J6" s="870"/>
      <c r="K6" s="870"/>
      <c r="L6" s="870"/>
      <c r="M6" s="870"/>
      <c r="N6" s="871"/>
      <c r="O6" s="870"/>
      <c r="P6" s="870"/>
      <c r="Q6" s="870"/>
      <c r="R6" s="870"/>
      <c r="S6" s="870"/>
      <c r="T6" s="870"/>
      <c r="U6" s="870"/>
      <c r="V6" s="870"/>
      <c r="W6" s="594"/>
      <c r="X6" s="594"/>
      <c r="Y6" s="595"/>
      <c r="Z6" s="596"/>
      <c r="AA6" s="597"/>
      <c r="AB6" s="597"/>
      <c r="AC6" s="598"/>
      <c r="AD6" s="599">
        <v>9400</v>
      </c>
      <c r="AE6" s="600">
        <v>10200</v>
      </c>
      <c r="AF6" s="608">
        <v>920</v>
      </c>
      <c r="AG6" s="440">
        <f>AD6*AF6</f>
        <v>8648000</v>
      </c>
      <c r="AH6" s="440">
        <f>AE6*AF6</f>
        <v>9384000</v>
      </c>
      <c r="AI6" s="440">
        <f t="shared" ref="AI6" si="0">AH6-AG6</f>
        <v>736000</v>
      </c>
      <c r="AJ6" s="584">
        <v>1172080</v>
      </c>
      <c r="AK6" s="601"/>
      <c r="AL6" s="441"/>
      <c r="AM6" s="599"/>
      <c r="AN6" s="600"/>
      <c r="AO6" s="600"/>
      <c r="AP6" s="440">
        <f t="shared" ref="AP6:AP118" si="1">AM6*AO6</f>
        <v>0</v>
      </c>
      <c r="AQ6" s="601"/>
    </row>
    <row r="7" spans="1:43" x14ac:dyDescent="0.2">
      <c r="A7" s="602"/>
      <c r="B7" s="603" t="s">
        <v>414</v>
      </c>
      <c r="C7" s="593"/>
      <c r="D7" s="594"/>
      <c r="E7" s="594"/>
      <c r="F7" s="594"/>
      <c r="G7" s="594"/>
      <c r="H7" s="594"/>
      <c r="I7" s="594"/>
      <c r="J7" s="594"/>
      <c r="K7" s="594"/>
      <c r="L7" s="594"/>
      <c r="M7" s="594"/>
      <c r="N7" s="595"/>
      <c r="O7" s="594"/>
      <c r="P7" s="594"/>
      <c r="Q7" s="594"/>
      <c r="R7" s="594"/>
      <c r="S7" s="594"/>
      <c r="T7" s="594"/>
      <c r="U7" s="594"/>
      <c r="V7" s="594"/>
      <c r="W7" s="594"/>
      <c r="X7" s="594"/>
      <c r="Y7" s="595"/>
      <c r="Z7" s="604"/>
      <c r="AA7" s="605"/>
      <c r="AB7" s="605"/>
      <c r="AC7" s="606"/>
      <c r="AD7" s="607"/>
      <c r="AE7" s="608"/>
      <c r="AG7" s="440"/>
      <c r="AH7" s="440"/>
      <c r="AI7" s="440"/>
      <c r="AJ7" s="584"/>
      <c r="AK7" s="609"/>
      <c r="AL7" s="441"/>
      <c r="AM7" s="607"/>
      <c r="AN7" s="608"/>
      <c r="AO7" s="608"/>
      <c r="AP7" s="440"/>
      <c r="AQ7" s="609"/>
    </row>
    <row r="8" spans="1:43" x14ac:dyDescent="0.2">
      <c r="A8" s="602"/>
      <c r="B8" s="603" t="s">
        <v>376</v>
      </c>
      <c r="C8" s="593"/>
      <c r="D8" s="594"/>
      <c r="E8" s="594"/>
      <c r="F8" s="594"/>
      <c r="G8" s="594"/>
      <c r="H8" s="594"/>
      <c r="I8" s="594"/>
      <c r="J8" s="594"/>
      <c r="K8" s="594"/>
      <c r="L8" s="594"/>
      <c r="M8" s="594"/>
      <c r="N8" s="595"/>
      <c r="O8" s="594"/>
      <c r="P8" s="594"/>
      <c r="Q8" s="594"/>
      <c r="R8" s="594"/>
      <c r="S8" s="594"/>
      <c r="T8" s="594"/>
      <c r="U8" s="594"/>
      <c r="V8" s="594"/>
      <c r="W8" s="594"/>
      <c r="X8" s="594"/>
      <c r="Y8" s="595"/>
      <c r="Z8" s="604"/>
      <c r="AA8" s="605"/>
      <c r="AB8" s="605"/>
      <c r="AC8" s="606"/>
      <c r="AD8" s="607"/>
      <c r="AE8" s="608"/>
      <c r="AF8" s="608"/>
      <c r="AG8" s="440"/>
      <c r="AH8" s="440"/>
      <c r="AI8" s="440"/>
      <c r="AJ8" s="584"/>
      <c r="AK8" s="609"/>
      <c r="AL8" s="441"/>
      <c r="AM8" s="607"/>
      <c r="AN8" s="608"/>
      <c r="AO8" s="608"/>
      <c r="AP8" s="440"/>
      <c r="AQ8" s="609"/>
    </row>
    <row r="9" spans="1:43" ht="24" x14ac:dyDescent="0.2">
      <c r="A9" s="602"/>
      <c r="B9" s="603" t="s">
        <v>417</v>
      </c>
      <c r="C9" s="593"/>
      <c r="D9" s="594"/>
      <c r="E9" s="594"/>
      <c r="F9" s="594"/>
      <c r="G9" s="594"/>
      <c r="H9" s="594"/>
      <c r="I9" s="594"/>
      <c r="J9" s="594"/>
      <c r="K9" s="594"/>
      <c r="L9" s="594"/>
      <c r="M9" s="594"/>
      <c r="N9" s="595"/>
      <c r="O9" s="594"/>
      <c r="P9" s="594"/>
      <c r="Q9" s="594"/>
      <c r="R9" s="594"/>
      <c r="S9" s="594"/>
      <c r="T9" s="594"/>
      <c r="U9" s="594"/>
      <c r="V9" s="594"/>
      <c r="W9" s="594"/>
      <c r="X9" s="594"/>
      <c r="Y9" s="595"/>
      <c r="Z9" s="604"/>
      <c r="AA9" s="605"/>
      <c r="AB9" s="605"/>
      <c r="AC9" s="606"/>
      <c r="AD9" s="607"/>
      <c r="AE9" s="608"/>
      <c r="AF9" s="608"/>
      <c r="AG9" s="440"/>
      <c r="AH9" s="440"/>
      <c r="AI9" s="440"/>
      <c r="AJ9" s="584"/>
      <c r="AK9" s="609"/>
      <c r="AL9" s="441"/>
      <c r="AM9" s="607"/>
      <c r="AN9" s="608"/>
      <c r="AO9" s="608"/>
      <c r="AP9" s="440"/>
      <c r="AQ9" s="609"/>
    </row>
    <row r="10" spans="1:43" ht="24" x14ac:dyDescent="0.2">
      <c r="A10" s="602"/>
      <c r="B10" s="603" t="s">
        <v>377</v>
      </c>
      <c r="C10" s="593"/>
      <c r="D10" s="594"/>
      <c r="E10" s="594"/>
      <c r="F10" s="594"/>
      <c r="G10" s="594"/>
      <c r="H10" s="594"/>
      <c r="I10" s="594"/>
      <c r="J10" s="594"/>
      <c r="K10" s="594"/>
      <c r="L10" s="594"/>
      <c r="M10" s="594"/>
      <c r="N10" s="595"/>
      <c r="O10" s="594"/>
      <c r="P10" s="594"/>
      <c r="Q10" s="594"/>
      <c r="R10" s="594"/>
      <c r="S10" s="594"/>
      <c r="T10" s="594"/>
      <c r="U10" s="594"/>
      <c r="V10" s="594"/>
      <c r="W10" s="594"/>
      <c r="X10" s="594"/>
      <c r="Y10" s="595"/>
      <c r="Z10" s="604"/>
      <c r="AA10" s="605"/>
      <c r="AB10" s="605"/>
      <c r="AC10" s="606"/>
      <c r="AD10" s="607"/>
      <c r="AE10" s="608"/>
      <c r="AF10" s="608"/>
      <c r="AG10" s="440"/>
      <c r="AH10" s="440"/>
      <c r="AI10" s="440"/>
      <c r="AJ10" s="584"/>
      <c r="AK10" s="609"/>
      <c r="AL10" s="441"/>
      <c r="AM10" s="607"/>
      <c r="AN10" s="608"/>
      <c r="AO10" s="608"/>
      <c r="AP10" s="440"/>
      <c r="AQ10" s="609"/>
    </row>
    <row r="11" spans="1:43" ht="72" x14ac:dyDescent="0.2">
      <c r="A11" s="602"/>
      <c r="B11" s="603" t="s">
        <v>415</v>
      </c>
      <c r="C11" s="593"/>
      <c r="D11" s="594"/>
      <c r="E11" s="594"/>
      <c r="F11" s="594"/>
      <c r="G11" s="594"/>
      <c r="H11" s="594"/>
      <c r="I11" s="594"/>
      <c r="J11" s="594"/>
      <c r="K11" s="594"/>
      <c r="L11" s="594"/>
      <c r="M11" s="594"/>
      <c r="N11" s="595"/>
      <c r="O11" s="594"/>
      <c r="P11" s="594"/>
      <c r="Q11" s="594"/>
      <c r="R11" s="594"/>
      <c r="S11" s="594"/>
      <c r="T11" s="594"/>
      <c r="U11" s="594"/>
      <c r="V11" s="594"/>
      <c r="W11" s="594"/>
      <c r="X11" s="594"/>
      <c r="Y11" s="595"/>
      <c r="Z11" s="604"/>
      <c r="AA11" s="605"/>
      <c r="AB11" s="605"/>
      <c r="AC11" s="606"/>
      <c r="AD11" s="607"/>
      <c r="AE11" s="608"/>
      <c r="AF11" s="608"/>
      <c r="AG11" s="440"/>
      <c r="AH11" s="440"/>
      <c r="AI11" s="440"/>
      <c r="AJ11" s="584"/>
      <c r="AK11" s="609"/>
      <c r="AL11" s="441"/>
      <c r="AM11" s="607"/>
      <c r="AN11" s="608"/>
      <c r="AO11" s="608"/>
      <c r="AP11" s="440"/>
      <c r="AQ11" s="609"/>
    </row>
    <row r="12" spans="1:43" x14ac:dyDescent="0.2">
      <c r="A12" s="602"/>
      <c r="B12" s="603" t="s">
        <v>416</v>
      </c>
      <c r="C12" s="593"/>
      <c r="D12" s="594"/>
      <c r="E12" s="594"/>
      <c r="F12" s="594"/>
      <c r="G12" s="594"/>
      <c r="H12" s="594"/>
      <c r="I12" s="594"/>
      <c r="J12" s="594"/>
      <c r="K12" s="594"/>
      <c r="L12" s="594"/>
      <c r="M12" s="594"/>
      <c r="N12" s="595"/>
      <c r="O12" s="594"/>
      <c r="P12" s="594"/>
      <c r="Q12" s="594"/>
      <c r="R12" s="594"/>
      <c r="S12" s="594"/>
      <c r="T12" s="594"/>
      <c r="U12" s="594"/>
      <c r="V12" s="594"/>
      <c r="W12" s="594"/>
      <c r="X12" s="594"/>
      <c r="Y12" s="595"/>
      <c r="Z12" s="604"/>
      <c r="AA12" s="605"/>
      <c r="AB12" s="605"/>
      <c r="AC12" s="606"/>
      <c r="AD12" s="607"/>
      <c r="AE12" s="608"/>
      <c r="AF12" s="608"/>
      <c r="AG12" s="440"/>
      <c r="AH12" s="440"/>
      <c r="AI12" s="440"/>
      <c r="AJ12" s="584"/>
      <c r="AK12" s="609"/>
      <c r="AL12" s="441"/>
      <c r="AM12" s="607"/>
      <c r="AN12" s="608"/>
      <c r="AO12" s="608"/>
      <c r="AP12" s="440"/>
      <c r="AQ12" s="609"/>
    </row>
    <row r="13" spans="1:43" ht="24" x14ac:dyDescent="0.2">
      <c r="A13" s="602"/>
      <c r="B13" s="603" t="s">
        <v>371</v>
      </c>
      <c r="C13" s="593"/>
      <c r="D13" s="594"/>
      <c r="E13" s="594"/>
      <c r="F13" s="594"/>
      <c r="G13" s="594"/>
      <c r="H13" s="594"/>
      <c r="I13" s="594"/>
      <c r="J13" s="594"/>
      <c r="K13" s="594"/>
      <c r="L13" s="594"/>
      <c r="M13" s="594"/>
      <c r="N13" s="595"/>
      <c r="O13" s="594"/>
      <c r="P13" s="594"/>
      <c r="Q13" s="594"/>
      <c r="R13" s="594"/>
      <c r="S13" s="594"/>
      <c r="T13" s="594"/>
      <c r="U13" s="594"/>
      <c r="V13" s="594"/>
      <c r="W13" s="594"/>
      <c r="X13" s="594"/>
      <c r="Y13" s="595"/>
      <c r="Z13" s="604"/>
      <c r="AA13" s="605"/>
      <c r="AB13" s="605"/>
      <c r="AC13" s="606"/>
      <c r="AD13" s="607"/>
      <c r="AE13" s="608"/>
      <c r="AF13" s="608"/>
      <c r="AG13" s="440"/>
      <c r="AH13" s="440"/>
      <c r="AI13" s="440"/>
      <c r="AJ13" s="584"/>
      <c r="AK13" s="609"/>
      <c r="AL13" s="441"/>
      <c r="AM13" s="607"/>
      <c r="AN13" s="608"/>
      <c r="AO13" s="608"/>
      <c r="AP13" s="440"/>
      <c r="AQ13" s="609"/>
    </row>
    <row r="14" spans="1:43" x14ac:dyDescent="0.2">
      <c r="A14" s="602"/>
      <c r="B14" s="603" t="s">
        <v>378</v>
      </c>
      <c r="C14" s="593"/>
      <c r="D14" s="594"/>
      <c r="E14" s="594"/>
      <c r="F14" s="594"/>
      <c r="G14" s="594"/>
      <c r="H14" s="594"/>
      <c r="I14" s="594"/>
      <c r="J14" s="594"/>
      <c r="K14" s="594"/>
      <c r="L14" s="594"/>
      <c r="M14" s="594"/>
      <c r="N14" s="595"/>
      <c r="O14" s="594"/>
      <c r="P14" s="594"/>
      <c r="Q14" s="594"/>
      <c r="R14" s="594"/>
      <c r="S14" s="594"/>
      <c r="T14" s="594"/>
      <c r="U14" s="594"/>
      <c r="V14" s="594"/>
      <c r="W14" s="594"/>
      <c r="X14" s="594"/>
      <c r="Y14" s="595"/>
      <c r="Z14" s="604"/>
      <c r="AA14" s="605"/>
      <c r="AB14" s="605"/>
      <c r="AC14" s="606"/>
      <c r="AD14" s="607"/>
      <c r="AE14" s="608"/>
      <c r="AF14" s="608"/>
      <c r="AG14" s="440"/>
      <c r="AH14" s="440"/>
      <c r="AI14" s="440"/>
      <c r="AJ14" s="584"/>
      <c r="AK14" s="609"/>
      <c r="AL14" s="441"/>
      <c r="AM14" s="607"/>
      <c r="AN14" s="608"/>
      <c r="AO14" s="608"/>
      <c r="AP14" s="440"/>
      <c r="AQ14" s="609"/>
    </row>
    <row r="15" spans="1:43" ht="84" x14ac:dyDescent="0.2">
      <c r="A15" s="602"/>
      <c r="B15" s="603" t="s">
        <v>372</v>
      </c>
      <c r="C15" s="593"/>
      <c r="D15" s="594"/>
      <c r="E15" s="594"/>
      <c r="F15" s="594"/>
      <c r="G15" s="594"/>
      <c r="H15" s="594"/>
      <c r="I15" s="594"/>
      <c r="J15" s="594"/>
      <c r="K15" s="594"/>
      <c r="L15" s="594"/>
      <c r="M15" s="594"/>
      <c r="N15" s="595"/>
      <c r="O15" s="594"/>
      <c r="P15" s="594"/>
      <c r="Q15" s="594"/>
      <c r="R15" s="594"/>
      <c r="S15" s="594"/>
      <c r="T15" s="594"/>
      <c r="U15" s="594"/>
      <c r="V15" s="594"/>
      <c r="W15" s="594"/>
      <c r="X15" s="594"/>
      <c r="Y15" s="595"/>
      <c r="Z15" s="604"/>
      <c r="AA15" s="605"/>
      <c r="AB15" s="605"/>
      <c r="AC15" s="606"/>
      <c r="AD15" s="607"/>
      <c r="AE15" s="608"/>
      <c r="AF15" s="608"/>
      <c r="AG15" s="440"/>
      <c r="AH15" s="440"/>
      <c r="AI15" s="440"/>
      <c r="AJ15" s="584"/>
      <c r="AK15" s="609"/>
      <c r="AL15" s="441"/>
      <c r="AM15" s="607"/>
      <c r="AN15" s="608"/>
      <c r="AO15" s="608"/>
      <c r="AP15" s="440"/>
      <c r="AQ15" s="609"/>
    </row>
    <row r="16" spans="1:43" x14ac:dyDescent="0.2">
      <c r="A16" s="602"/>
      <c r="B16" s="603" t="s">
        <v>379</v>
      </c>
      <c r="C16" s="593"/>
      <c r="D16" s="594"/>
      <c r="E16" s="594"/>
      <c r="F16" s="594"/>
      <c r="G16" s="594"/>
      <c r="H16" s="594"/>
      <c r="I16" s="594"/>
      <c r="J16" s="594"/>
      <c r="K16" s="594"/>
      <c r="L16" s="594"/>
      <c r="M16" s="594"/>
      <c r="N16" s="595"/>
      <c r="O16" s="594"/>
      <c r="P16" s="594"/>
      <c r="Q16" s="594"/>
      <c r="R16" s="594"/>
      <c r="S16" s="594"/>
      <c r="T16" s="594"/>
      <c r="U16" s="594"/>
      <c r="V16" s="594"/>
      <c r="W16" s="594"/>
      <c r="X16" s="594"/>
      <c r="Y16" s="595"/>
      <c r="Z16" s="604"/>
      <c r="AA16" s="605"/>
      <c r="AB16" s="605"/>
      <c r="AC16" s="606"/>
      <c r="AD16" s="607"/>
      <c r="AE16" s="608"/>
      <c r="AF16" s="608"/>
      <c r="AG16" s="440"/>
      <c r="AH16" s="440"/>
      <c r="AI16" s="440"/>
      <c r="AJ16" s="584"/>
      <c r="AK16" s="609"/>
      <c r="AL16" s="441"/>
      <c r="AM16" s="607"/>
      <c r="AN16" s="608"/>
      <c r="AO16" s="608"/>
      <c r="AP16" s="440"/>
      <c r="AQ16" s="609"/>
    </row>
    <row r="17" spans="1:43" ht="24" x14ac:dyDescent="0.2">
      <c r="A17" s="602"/>
      <c r="B17" s="603" t="s">
        <v>373</v>
      </c>
      <c r="C17" s="593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5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5"/>
      <c r="Z17" s="604"/>
      <c r="AA17" s="605"/>
      <c r="AB17" s="605"/>
      <c r="AC17" s="606"/>
      <c r="AD17" s="607"/>
      <c r="AE17" s="608"/>
      <c r="AF17" s="608"/>
      <c r="AG17" s="440"/>
      <c r="AH17" s="440"/>
      <c r="AI17" s="440"/>
      <c r="AJ17" s="584"/>
      <c r="AK17" s="609"/>
      <c r="AL17" s="441"/>
      <c r="AM17" s="607"/>
      <c r="AN17" s="608"/>
      <c r="AO17" s="608"/>
      <c r="AP17" s="440"/>
      <c r="AQ17" s="609"/>
    </row>
    <row r="18" spans="1:43" x14ac:dyDescent="0.2">
      <c r="A18" s="602"/>
      <c r="B18" s="603" t="s">
        <v>380</v>
      </c>
      <c r="C18" s="593"/>
      <c r="D18" s="594"/>
      <c r="E18" s="594"/>
      <c r="F18" s="594"/>
      <c r="G18" s="594"/>
      <c r="H18" s="594"/>
      <c r="I18" s="594"/>
      <c r="J18" s="594"/>
      <c r="K18" s="594"/>
      <c r="L18" s="594"/>
      <c r="M18" s="594"/>
      <c r="N18" s="595"/>
      <c r="O18" s="594"/>
      <c r="P18" s="594"/>
      <c r="Q18" s="594"/>
      <c r="R18" s="594"/>
      <c r="S18" s="594"/>
      <c r="T18" s="594"/>
      <c r="U18" s="594"/>
      <c r="V18" s="594"/>
      <c r="W18" s="594"/>
      <c r="X18" s="594"/>
      <c r="Y18" s="595"/>
      <c r="Z18" s="604"/>
      <c r="AA18" s="605"/>
      <c r="AB18" s="605"/>
      <c r="AC18" s="606"/>
      <c r="AD18" s="607"/>
      <c r="AE18" s="608"/>
      <c r="AF18" s="608"/>
      <c r="AG18" s="440"/>
      <c r="AH18" s="440"/>
      <c r="AI18" s="440"/>
      <c r="AJ18" s="584"/>
      <c r="AK18" s="609"/>
      <c r="AL18" s="441"/>
      <c r="AM18" s="607"/>
      <c r="AN18" s="608"/>
      <c r="AO18" s="608"/>
      <c r="AP18" s="440"/>
      <c r="AQ18" s="609"/>
    </row>
    <row r="19" spans="1:43" ht="48" x14ac:dyDescent="0.2">
      <c r="A19" s="602"/>
      <c r="B19" s="603" t="s">
        <v>374</v>
      </c>
      <c r="C19" s="593"/>
      <c r="D19" s="594"/>
      <c r="E19" s="594"/>
      <c r="F19" s="594"/>
      <c r="G19" s="594"/>
      <c r="H19" s="594"/>
      <c r="I19" s="594"/>
      <c r="J19" s="594"/>
      <c r="K19" s="594"/>
      <c r="L19" s="594"/>
      <c r="M19" s="594"/>
      <c r="N19" s="595"/>
      <c r="O19" s="594"/>
      <c r="P19" s="594"/>
      <c r="Q19" s="594"/>
      <c r="R19" s="594"/>
      <c r="S19" s="594"/>
      <c r="T19" s="594"/>
      <c r="U19" s="594"/>
      <c r="V19" s="594"/>
      <c r="W19" s="594"/>
      <c r="X19" s="594"/>
      <c r="Y19" s="595"/>
      <c r="Z19" s="604"/>
      <c r="AA19" s="605"/>
      <c r="AB19" s="605"/>
      <c r="AC19" s="606"/>
      <c r="AD19" s="607"/>
      <c r="AE19" s="608"/>
      <c r="AF19" s="608"/>
      <c r="AG19" s="440"/>
      <c r="AH19" s="440"/>
      <c r="AI19" s="440"/>
      <c r="AJ19" s="584"/>
      <c r="AK19" s="609"/>
      <c r="AL19" s="441"/>
      <c r="AM19" s="607"/>
      <c r="AN19" s="608"/>
      <c r="AO19" s="608"/>
      <c r="AP19" s="440"/>
      <c r="AQ19" s="609"/>
    </row>
    <row r="20" spans="1:43" x14ac:dyDescent="0.2">
      <c r="A20" s="602"/>
      <c r="B20" s="603" t="s">
        <v>381</v>
      </c>
      <c r="C20" s="593"/>
      <c r="D20" s="594"/>
      <c r="E20" s="594"/>
      <c r="F20" s="594"/>
      <c r="G20" s="594"/>
      <c r="H20" s="594"/>
      <c r="I20" s="594"/>
      <c r="J20" s="594"/>
      <c r="K20" s="594"/>
      <c r="L20" s="594"/>
      <c r="M20" s="594"/>
      <c r="N20" s="595"/>
      <c r="O20" s="594"/>
      <c r="P20" s="594"/>
      <c r="Q20" s="594"/>
      <c r="R20" s="594"/>
      <c r="S20" s="594"/>
      <c r="T20" s="594"/>
      <c r="U20" s="594"/>
      <c r="V20" s="594"/>
      <c r="W20" s="594"/>
      <c r="X20" s="594"/>
      <c r="Y20" s="595"/>
      <c r="Z20" s="604"/>
      <c r="AA20" s="605"/>
      <c r="AB20" s="605"/>
      <c r="AC20" s="606"/>
      <c r="AD20" s="607"/>
      <c r="AE20" s="608"/>
      <c r="AF20" s="608"/>
      <c r="AG20" s="440"/>
      <c r="AH20" s="440"/>
      <c r="AI20" s="440"/>
      <c r="AJ20" s="584"/>
      <c r="AK20" s="609"/>
      <c r="AL20" s="441"/>
      <c r="AM20" s="607"/>
      <c r="AN20" s="608"/>
      <c r="AO20" s="608"/>
      <c r="AP20" s="440"/>
      <c r="AQ20" s="609"/>
    </row>
    <row r="21" spans="1:43" x14ac:dyDescent="0.2">
      <c r="A21" s="602"/>
      <c r="B21" s="603" t="s">
        <v>382</v>
      </c>
      <c r="C21" s="593"/>
      <c r="D21" s="594"/>
      <c r="E21" s="594"/>
      <c r="F21" s="594"/>
      <c r="G21" s="594"/>
      <c r="H21" s="594"/>
      <c r="I21" s="594"/>
      <c r="J21" s="594"/>
      <c r="K21" s="594"/>
      <c r="L21" s="594"/>
      <c r="M21" s="594"/>
      <c r="N21" s="595"/>
      <c r="O21" s="594"/>
      <c r="P21" s="594"/>
      <c r="Q21" s="594"/>
      <c r="R21" s="594"/>
      <c r="S21" s="594"/>
      <c r="T21" s="594"/>
      <c r="U21" s="594"/>
      <c r="V21" s="594"/>
      <c r="W21" s="594"/>
      <c r="X21" s="594"/>
      <c r="Y21" s="595"/>
      <c r="Z21" s="604"/>
      <c r="AA21" s="605"/>
      <c r="AB21" s="605"/>
      <c r="AC21" s="606"/>
      <c r="AD21" s="607"/>
      <c r="AE21" s="608"/>
      <c r="AF21" s="608"/>
      <c r="AG21" s="440"/>
      <c r="AH21" s="440"/>
      <c r="AI21" s="440"/>
      <c r="AJ21" s="584"/>
      <c r="AK21" s="609"/>
      <c r="AL21" s="441"/>
      <c r="AM21" s="607"/>
      <c r="AN21" s="608"/>
      <c r="AO21" s="608"/>
      <c r="AP21" s="440"/>
      <c r="AQ21" s="609"/>
    </row>
    <row r="22" spans="1:43" ht="24" x14ac:dyDescent="0.2">
      <c r="A22" s="602"/>
      <c r="B22" s="603" t="s">
        <v>383</v>
      </c>
      <c r="C22" s="593"/>
      <c r="D22" s="594"/>
      <c r="E22" s="594"/>
      <c r="F22" s="594"/>
      <c r="G22" s="594"/>
      <c r="H22" s="594"/>
      <c r="I22" s="594"/>
      <c r="J22" s="594"/>
      <c r="K22" s="594"/>
      <c r="L22" s="594"/>
      <c r="M22" s="594"/>
      <c r="N22" s="595"/>
      <c r="O22" s="594"/>
      <c r="P22" s="594"/>
      <c r="Q22" s="594"/>
      <c r="R22" s="594"/>
      <c r="S22" s="594"/>
      <c r="T22" s="594"/>
      <c r="U22" s="594"/>
      <c r="V22" s="594"/>
      <c r="W22" s="594"/>
      <c r="X22" s="594"/>
      <c r="Y22" s="595"/>
      <c r="Z22" s="604"/>
      <c r="AA22" s="605"/>
      <c r="AB22" s="605"/>
      <c r="AC22" s="606"/>
      <c r="AD22" s="607"/>
      <c r="AE22" s="608"/>
      <c r="AF22" s="608"/>
      <c r="AG22" s="440"/>
      <c r="AH22" s="440"/>
      <c r="AI22" s="440"/>
      <c r="AJ22" s="584"/>
      <c r="AK22" s="609"/>
      <c r="AL22" s="441"/>
      <c r="AM22" s="607"/>
      <c r="AN22" s="608"/>
      <c r="AO22" s="608"/>
      <c r="AP22" s="440"/>
      <c r="AQ22" s="609"/>
    </row>
    <row r="23" spans="1:43" ht="24" x14ac:dyDescent="0.2">
      <c r="A23" s="602"/>
      <c r="B23" s="603" t="s">
        <v>384</v>
      </c>
      <c r="C23" s="593"/>
      <c r="D23" s="594"/>
      <c r="E23" s="594"/>
      <c r="F23" s="594"/>
      <c r="G23" s="594"/>
      <c r="H23" s="594"/>
      <c r="I23" s="594"/>
      <c r="J23" s="594"/>
      <c r="K23" s="594"/>
      <c r="L23" s="594"/>
      <c r="M23" s="594"/>
      <c r="N23" s="595"/>
      <c r="O23" s="594"/>
      <c r="P23" s="594"/>
      <c r="Q23" s="594"/>
      <c r="R23" s="594"/>
      <c r="S23" s="594"/>
      <c r="T23" s="594"/>
      <c r="U23" s="594"/>
      <c r="V23" s="594"/>
      <c r="W23" s="594"/>
      <c r="X23" s="594"/>
      <c r="Y23" s="595"/>
      <c r="Z23" s="604"/>
      <c r="AA23" s="605"/>
      <c r="AB23" s="605"/>
      <c r="AC23" s="606"/>
      <c r="AD23" s="607"/>
      <c r="AE23" s="608"/>
      <c r="AF23" s="608"/>
      <c r="AG23" s="440"/>
      <c r="AH23" s="440"/>
      <c r="AI23" s="440"/>
      <c r="AJ23" s="584"/>
      <c r="AK23" s="609"/>
      <c r="AL23" s="441"/>
      <c r="AM23" s="607"/>
      <c r="AN23" s="608"/>
      <c r="AO23" s="608"/>
      <c r="AP23" s="440"/>
      <c r="AQ23" s="609"/>
    </row>
    <row r="24" spans="1:43" ht="84" x14ac:dyDescent="0.2">
      <c r="A24" s="602"/>
      <c r="B24" s="603" t="s">
        <v>418</v>
      </c>
      <c r="C24" s="593"/>
      <c r="D24" s="594"/>
      <c r="E24" s="594"/>
      <c r="F24" s="594"/>
      <c r="G24" s="594"/>
      <c r="H24" s="594"/>
      <c r="I24" s="594"/>
      <c r="J24" s="594"/>
      <c r="K24" s="594"/>
      <c r="L24" s="594"/>
      <c r="M24" s="594"/>
      <c r="N24" s="595"/>
      <c r="O24" s="594"/>
      <c r="P24" s="594"/>
      <c r="Q24" s="594"/>
      <c r="R24" s="594"/>
      <c r="S24" s="594"/>
      <c r="T24" s="594"/>
      <c r="U24" s="594"/>
      <c r="V24" s="594"/>
      <c r="W24" s="594"/>
      <c r="X24" s="594"/>
      <c r="Y24" s="595"/>
      <c r="Z24" s="604"/>
      <c r="AA24" s="605"/>
      <c r="AB24" s="605"/>
      <c r="AC24" s="606"/>
      <c r="AD24" s="607"/>
      <c r="AE24" s="608"/>
      <c r="AF24" s="608"/>
      <c r="AG24" s="440"/>
      <c r="AH24" s="440"/>
      <c r="AI24" s="440"/>
      <c r="AJ24" s="584"/>
      <c r="AK24" s="609"/>
      <c r="AL24" s="441"/>
      <c r="AM24" s="607"/>
      <c r="AN24" s="608"/>
      <c r="AO24" s="608"/>
      <c r="AP24" s="440"/>
      <c r="AQ24" s="609"/>
    </row>
    <row r="25" spans="1:43" x14ac:dyDescent="0.2">
      <c r="A25" s="602"/>
      <c r="B25" s="603" t="s">
        <v>385</v>
      </c>
      <c r="C25" s="593"/>
      <c r="D25" s="594"/>
      <c r="E25" s="594"/>
      <c r="F25" s="594"/>
      <c r="G25" s="594"/>
      <c r="H25" s="594"/>
      <c r="I25" s="594"/>
      <c r="J25" s="594"/>
      <c r="K25" s="594"/>
      <c r="L25" s="594"/>
      <c r="M25" s="594"/>
      <c r="N25" s="595"/>
      <c r="O25" s="594"/>
      <c r="P25" s="594"/>
      <c r="Q25" s="594"/>
      <c r="R25" s="594"/>
      <c r="S25" s="594"/>
      <c r="T25" s="594"/>
      <c r="U25" s="594"/>
      <c r="V25" s="594"/>
      <c r="W25" s="594"/>
      <c r="X25" s="594"/>
      <c r="Y25" s="595"/>
      <c r="Z25" s="604"/>
      <c r="AA25" s="605"/>
      <c r="AB25" s="605"/>
      <c r="AC25" s="606"/>
      <c r="AD25" s="607"/>
      <c r="AE25" s="608"/>
      <c r="AF25" s="608"/>
      <c r="AG25" s="440"/>
      <c r="AH25" s="440"/>
      <c r="AI25" s="440"/>
      <c r="AJ25" s="584"/>
      <c r="AK25" s="609"/>
      <c r="AL25" s="441"/>
      <c r="AM25" s="607"/>
      <c r="AN25" s="608"/>
      <c r="AO25" s="608"/>
      <c r="AP25" s="440"/>
      <c r="AQ25" s="609"/>
    </row>
    <row r="26" spans="1:43" ht="60" x14ac:dyDescent="0.2">
      <c r="A26" s="602"/>
      <c r="B26" s="603" t="s">
        <v>386</v>
      </c>
      <c r="C26" s="593"/>
      <c r="D26" s="594"/>
      <c r="E26" s="594"/>
      <c r="F26" s="594"/>
      <c r="G26" s="594"/>
      <c r="H26" s="594"/>
      <c r="I26" s="594"/>
      <c r="J26" s="594"/>
      <c r="K26" s="594"/>
      <c r="L26" s="594"/>
      <c r="M26" s="594"/>
      <c r="N26" s="595"/>
      <c r="O26" s="594"/>
      <c r="P26" s="594"/>
      <c r="Q26" s="594"/>
      <c r="R26" s="594"/>
      <c r="S26" s="594"/>
      <c r="T26" s="594"/>
      <c r="U26" s="594"/>
      <c r="V26" s="594"/>
      <c r="W26" s="594"/>
      <c r="X26" s="594"/>
      <c r="Y26" s="595"/>
      <c r="Z26" s="604"/>
      <c r="AA26" s="605"/>
      <c r="AB26" s="605"/>
      <c r="AC26" s="606"/>
      <c r="AD26" s="607"/>
      <c r="AE26" s="608"/>
      <c r="AF26" s="608"/>
      <c r="AG26" s="440"/>
      <c r="AH26" s="440"/>
      <c r="AI26" s="440"/>
      <c r="AJ26" s="584"/>
      <c r="AK26" s="609"/>
      <c r="AL26" s="441"/>
      <c r="AM26" s="607"/>
      <c r="AN26" s="608"/>
      <c r="AO26" s="608"/>
      <c r="AP26" s="440"/>
      <c r="AQ26" s="609"/>
    </row>
    <row r="27" spans="1:43" x14ac:dyDescent="0.2">
      <c r="A27" s="602"/>
      <c r="B27" s="603" t="s">
        <v>387</v>
      </c>
      <c r="C27" s="593"/>
      <c r="D27" s="594"/>
      <c r="E27" s="594"/>
      <c r="F27" s="594"/>
      <c r="G27" s="594"/>
      <c r="H27" s="594"/>
      <c r="I27" s="594"/>
      <c r="J27" s="594"/>
      <c r="K27" s="594"/>
      <c r="L27" s="594"/>
      <c r="M27" s="594"/>
      <c r="N27" s="595"/>
      <c r="O27" s="594"/>
      <c r="P27" s="594"/>
      <c r="Q27" s="594"/>
      <c r="R27" s="594"/>
      <c r="S27" s="594"/>
      <c r="T27" s="594"/>
      <c r="U27" s="594"/>
      <c r="V27" s="594"/>
      <c r="W27" s="594"/>
      <c r="X27" s="594"/>
      <c r="Y27" s="595"/>
      <c r="Z27" s="604"/>
      <c r="AA27" s="605"/>
      <c r="AB27" s="605"/>
      <c r="AC27" s="606"/>
      <c r="AD27" s="607"/>
      <c r="AE27" s="608"/>
      <c r="AF27" s="608"/>
      <c r="AG27" s="440"/>
      <c r="AH27" s="440"/>
      <c r="AI27" s="440"/>
      <c r="AJ27" s="584"/>
      <c r="AK27" s="609"/>
      <c r="AL27" s="441"/>
      <c r="AM27" s="607"/>
      <c r="AN27" s="608"/>
      <c r="AO27" s="608"/>
      <c r="AP27" s="440"/>
      <c r="AQ27" s="609"/>
    </row>
    <row r="28" spans="1:43" ht="24" x14ac:dyDescent="0.2">
      <c r="A28" s="602"/>
      <c r="B28" s="603" t="s">
        <v>388</v>
      </c>
      <c r="C28" s="593"/>
      <c r="D28" s="594"/>
      <c r="E28" s="594"/>
      <c r="F28" s="594"/>
      <c r="G28" s="594"/>
      <c r="H28" s="594"/>
      <c r="I28" s="594"/>
      <c r="J28" s="594"/>
      <c r="K28" s="594"/>
      <c r="L28" s="594"/>
      <c r="M28" s="594"/>
      <c r="N28" s="595"/>
      <c r="O28" s="594"/>
      <c r="P28" s="594"/>
      <c r="Q28" s="594"/>
      <c r="R28" s="594"/>
      <c r="S28" s="594"/>
      <c r="T28" s="594"/>
      <c r="U28" s="594"/>
      <c r="V28" s="594"/>
      <c r="W28" s="594"/>
      <c r="X28" s="594"/>
      <c r="Y28" s="595"/>
      <c r="Z28" s="604"/>
      <c r="AA28" s="605"/>
      <c r="AB28" s="605"/>
      <c r="AC28" s="606"/>
      <c r="AD28" s="607"/>
      <c r="AE28" s="608"/>
      <c r="AF28" s="608"/>
      <c r="AG28" s="440"/>
      <c r="AH28" s="440"/>
      <c r="AI28" s="440"/>
      <c r="AJ28" s="584"/>
      <c r="AK28" s="609"/>
      <c r="AL28" s="441"/>
      <c r="AM28" s="607"/>
      <c r="AN28" s="608"/>
      <c r="AO28" s="608"/>
      <c r="AP28" s="440"/>
      <c r="AQ28" s="609"/>
    </row>
    <row r="29" spans="1:43" x14ac:dyDescent="0.2">
      <c r="A29" s="602"/>
      <c r="B29" s="603" t="s">
        <v>389</v>
      </c>
      <c r="C29" s="593"/>
      <c r="D29" s="594"/>
      <c r="E29" s="594"/>
      <c r="F29" s="594"/>
      <c r="G29" s="594"/>
      <c r="H29" s="594"/>
      <c r="I29" s="594"/>
      <c r="J29" s="594"/>
      <c r="K29" s="594"/>
      <c r="L29" s="594"/>
      <c r="M29" s="594"/>
      <c r="N29" s="595"/>
      <c r="O29" s="594"/>
      <c r="P29" s="594"/>
      <c r="Q29" s="594"/>
      <c r="R29" s="594"/>
      <c r="S29" s="594"/>
      <c r="T29" s="594"/>
      <c r="U29" s="594"/>
      <c r="V29" s="594"/>
      <c r="W29" s="594"/>
      <c r="X29" s="594"/>
      <c r="Y29" s="595"/>
      <c r="Z29" s="604"/>
      <c r="AA29" s="605"/>
      <c r="AB29" s="605"/>
      <c r="AC29" s="606"/>
      <c r="AD29" s="607"/>
      <c r="AE29" s="608"/>
      <c r="AF29" s="608"/>
      <c r="AG29" s="440"/>
      <c r="AH29" s="440"/>
      <c r="AI29" s="440"/>
      <c r="AJ29" s="584"/>
      <c r="AK29" s="609"/>
      <c r="AL29" s="441"/>
      <c r="AM29" s="607"/>
      <c r="AN29" s="608"/>
      <c r="AO29" s="608"/>
      <c r="AP29" s="440"/>
      <c r="AQ29" s="609"/>
    </row>
    <row r="30" spans="1:43" ht="60" x14ac:dyDescent="0.2">
      <c r="A30" s="602"/>
      <c r="B30" s="603" t="s">
        <v>463</v>
      </c>
      <c r="C30" s="593"/>
      <c r="D30" s="594"/>
      <c r="E30" s="594"/>
      <c r="F30" s="594"/>
      <c r="G30" s="594"/>
      <c r="H30" s="594"/>
      <c r="I30" s="594"/>
      <c r="J30" s="594"/>
      <c r="K30" s="594"/>
      <c r="L30" s="594"/>
      <c r="M30" s="594"/>
      <c r="N30" s="595"/>
      <c r="O30" s="594"/>
      <c r="P30" s="594"/>
      <c r="Q30" s="594"/>
      <c r="R30" s="594"/>
      <c r="S30" s="594"/>
      <c r="T30" s="594"/>
      <c r="U30" s="594"/>
      <c r="V30" s="594"/>
      <c r="W30" s="594"/>
      <c r="X30" s="594"/>
      <c r="Y30" s="595"/>
      <c r="Z30" s="604"/>
      <c r="AA30" s="605"/>
      <c r="AB30" s="605"/>
      <c r="AC30" s="606"/>
      <c r="AD30" s="607"/>
      <c r="AE30" s="608"/>
      <c r="AF30" s="608"/>
      <c r="AG30" s="440"/>
      <c r="AH30" s="440"/>
      <c r="AI30" s="440"/>
      <c r="AJ30" s="584"/>
      <c r="AK30" s="609"/>
      <c r="AL30" s="441"/>
      <c r="AM30" s="607"/>
      <c r="AN30" s="608"/>
      <c r="AO30" s="608"/>
      <c r="AP30" s="440"/>
      <c r="AQ30" s="609"/>
    </row>
    <row r="31" spans="1:43" ht="24" x14ac:dyDescent="0.2">
      <c r="A31" s="602"/>
      <c r="B31" s="603" t="s">
        <v>419</v>
      </c>
      <c r="C31" s="593"/>
      <c r="D31" s="594"/>
      <c r="E31" s="594"/>
      <c r="F31" s="594"/>
      <c r="G31" s="594"/>
      <c r="H31" s="594"/>
      <c r="I31" s="594"/>
      <c r="J31" s="594"/>
      <c r="K31" s="594"/>
      <c r="L31" s="594"/>
      <c r="M31" s="594"/>
      <c r="N31" s="595"/>
      <c r="O31" s="594"/>
      <c r="P31" s="594"/>
      <c r="Q31" s="594"/>
      <c r="R31" s="594"/>
      <c r="S31" s="594"/>
      <c r="T31" s="594"/>
      <c r="U31" s="594"/>
      <c r="V31" s="594"/>
      <c r="W31" s="594"/>
      <c r="X31" s="594"/>
      <c r="Y31" s="595"/>
      <c r="Z31" s="604"/>
      <c r="AA31" s="605"/>
      <c r="AB31" s="605"/>
      <c r="AC31" s="606"/>
      <c r="AD31" s="607"/>
      <c r="AE31" s="608"/>
      <c r="AF31" s="608"/>
      <c r="AG31" s="440"/>
      <c r="AH31" s="440"/>
      <c r="AI31" s="440"/>
      <c r="AJ31" s="584"/>
      <c r="AK31" s="609"/>
      <c r="AL31" s="441"/>
      <c r="AM31" s="607"/>
      <c r="AN31" s="608"/>
      <c r="AO31" s="608"/>
      <c r="AP31" s="440"/>
      <c r="AQ31" s="609"/>
    </row>
    <row r="32" spans="1:43" ht="36" x14ac:dyDescent="0.2">
      <c r="A32" s="602"/>
      <c r="B32" s="603" t="s">
        <v>464</v>
      </c>
      <c r="C32" s="593"/>
      <c r="D32" s="594"/>
      <c r="E32" s="594"/>
      <c r="F32" s="594"/>
      <c r="G32" s="594"/>
      <c r="H32" s="594"/>
      <c r="I32" s="594"/>
      <c r="J32" s="594"/>
      <c r="K32" s="594"/>
      <c r="L32" s="594"/>
      <c r="M32" s="594"/>
      <c r="N32" s="595"/>
      <c r="O32" s="594"/>
      <c r="P32" s="594"/>
      <c r="Q32" s="594"/>
      <c r="R32" s="594"/>
      <c r="S32" s="594"/>
      <c r="T32" s="594"/>
      <c r="U32" s="594"/>
      <c r="V32" s="594"/>
      <c r="W32" s="594"/>
      <c r="X32" s="594"/>
      <c r="Y32" s="595"/>
      <c r="Z32" s="604"/>
      <c r="AA32" s="605"/>
      <c r="AB32" s="605"/>
      <c r="AC32" s="606"/>
      <c r="AD32" s="607"/>
      <c r="AE32" s="608"/>
      <c r="AF32" s="608"/>
      <c r="AG32" s="440"/>
      <c r="AH32" s="440"/>
      <c r="AI32" s="440"/>
      <c r="AJ32" s="584"/>
      <c r="AK32" s="609"/>
      <c r="AL32" s="441"/>
      <c r="AM32" s="607"/>
      <c r="AN32" s="608"/>
      <c r="AO32" s="608"/>
      <c r="AP32" s="440"/>
      <c r="AQ32" s="609"/>
    </row>
    <row r="33" spans="1:43" ht="72" x14ac:dyDescent="0.2">
      <c r="A33" s="602"/>
      <c r="B33" s="603" t="s">
        <v>392</v>
      </c>
      <c r="C33" s="593"/>
      <c r="D33" s="594"/>
      <c r="E33" s="594"/>
      <c r="F33" s="594"/>
      <c r="G33" s="594"/>
      <c r="H33" s="594"/>
      <c r="I33" s="594"/>
      <c r="J33" s="594"/>
      <c r="K33" s="594"/>
      <c r="L33" s="594"/>
      <c r="M33" s="594"/>
      <c r="N33" s="595"/>
      <c r="O33" s="594"/>
      <c r="P33" s="594"/>
      <c r="Q33" s="594"/>
      <c r="R33" s="594"/>
      <c r="S33" s="594"/>
      <c r="T33" s="594"/>
      <c r="U33" s="594"/>
      <c r="V33" s="594"/>
      <c r="W33" s="594"/>
      <c r="X33" s="594"/>
      <c r="Y33" s="595"/>
      <c r="Z33" s="604"/>
      <c r="AA33" s="605"/>
      <c r="AB33" s="605"/>
      <c r="AC33" s="606"/>
      <c r="AD33" s="607"/>
      <c r="AE33" s="608"/>
      <c r="AF33" s="608"/>
      <c r="AG33" s="440"/>
      <c r="AH33" s="440"/>
      <c r="AI33" s="440"/>
      <c r="AJ33" s="584"/>
      <c r="AK33" s="609"/>
      <c r="AL33" s="441"/>
      <c r="AM33" s="607"/>
      <c r="AN33" s="608"/>
      <c r="AO33" s="608"/>
      <c r="AP33" s="440"/>
      <c r="AQ33" s="609"/>
    </row>
    <row r="34" spans="1:43" ht="36" x14ac:dyDescent="0.2">
      <c r="A34" s="602"/>
      <c r="B34" s="603" t="s">
        <v>465</v>
      </c>
      <c r="C34" s="593"/>
      <c r="D34" s="594"/>
      <c r="E34" s="594"/>
      <c r="F34" s="594"/>
      <c r="G34" s="594"/>
      <c r="H34" s="594"/>
      <c r="I34" s="594"/>
      <c r="J34" s="594"/>
      <c r="K34" s="594"/>
      <c r="L34" s="594"/>
      <c r="M34" s="594"/>
      <c r="N34" s="595"/>
      <c r="O34" s="594"/>
      <c r="P34" s="594"/>
      <c r="Q34" s="594"/>
      <c r="R34" s="594"/>
      <c r="S34" s="594"/>
      <c r="T34" s="594"/>
      <c r="U34" s="594"/>
      <c r="V34" s="594"/>
      <c r="W34" s="594"/>
      <c r="X34" s="594"/>
      <c r="Y34" s="595"/>
      <c r="Z34" s="604"/>
      <c r="AA34" s="605"/>
      <c r="AB34" s="605"/>
      <c r="AC34" s="606"/>
      <c r="AD34" s="607"/>
      <c r="AE34" s="608"/>
      <c r="AF34" s="608"/>
      <c r="AG34" s="440"/>
      <c r="AH34" s="440"/>
      <c r="AI34" s="440"/>
      <c r="AJ34" s="584"/>
      <c r="AK34" s="609"/>
      <c r="AL34" s="441"/>
      <c r="AM34" s="607"/>
      <c r="AN34" s="608"/>
      <c r="AO34" s="608"/>
      <c r="AP34" s="440"/>
      <c r="AQ34" s="609"/>
    </row>
    <row r="35" spans="1:43" ht="84" x14ac:dyDescent="0.2">
      <c r="A35" s="602"/>
      <c r="B35" s="603" t="s">
        <v>466</v>
      </c>
      <c r="C35" s="593"/>
      <c r="D35" s="594"/>
      <c r="E35" s="594"/>
      <c r="F35" s="594"/>
      <c r="G35" s="594"/>
      <c r="H35" s="594"/>
      <c r="I35" s="594"/>
      <c r="J35" s="594"/>
      <c r="K35" s="594"/>
      <c r="L35" s="594"/>
      <c r="M35" s="594"/>
      <c r="N35" s="595"/>
      <c r="O35" s="594"/>
      <c r="P35" s="594"/>
      <c r="Q35" s="594"/>
      <c r="R35" s="594"/>
      <c r="S35" s="594"/>
      <c r="T35" s="594"/>
      <c r="U35" s="594"/>
      <c r="V35" s="594"/>
      <c r="W35" s="594"/>
      <c r="X35" s="594"/>
      <c r="Y35" s="595"/>
      <c r="Z35" s="604"/>
      <c r="AA35" s="605"/>
      <c r="AB35" s="605"/>
      <c r="AC35" s="606"/>
      <c r="AD35" s="607"/>
      <c r="AE35" s="608"/>
      <c r="AF35" s="608"/>
      <c r="AG35" s="440"/>
      <c r="AH35" s="440"/>
      <c r="AI35" s="440"/>
      <c r="AJ35" s="584"/>
      <c r="AK35" s="609"/>
      <c r="AL35" s="441"/>
      <c r="AM35" s="607"/>
      <c r="AN35" s="608"/>
      <c r="AO35" s="608"/>
      <c r="AP35" s="440"/>
      <c r="AQ35" s="609"/>
    </row>
    <row r="36" spans="1:43" ht="24" x14ac:dyDescent="0.2">
      <c r="A36" s="602"/>
      <c r="B36" s="603" t="s">
        <v>468</v>
      </c>
      <c r="C36" s="593"/>
      <c r="D36" s="594"/>
      <c r="E36" s="594"/>
      <c r="F36" s="594"/>
      <c r="G36" s="594"/>
      <c r="H36" s="594"/>
      <c r="I36" s="594"/>
      <c r="J36" s="594"/>
      <c r="K36" s="594"/>
      <c r="L36" s="594"/>
      <c r="M36" s="594"/>
      <c r="N36" s="595"/>
      <c r="O36" s="594"/>
      <c r="P36" s="594"/>
      <c r="Q36" s="594"/>
      <c r="R36" s="594"/>
      <c r="S36" s="594"/>
      <c r="T36" s="594"/>
      <c r="U36" s="594"/>
      <c r="V36" s="594"/>
      <c r="W36" s="594"/>
      <c r="X36" s="594"/>
      <c r="Y36" s="595"/>
      <c r="Z36" s="604"/>
      <c r="AA36" s="605"/>
      <c r="AB36" s="605"/>
      <c r="AC36" s="606"/>
      <c r="AD36" s="607"/>
      <c r="AE36" s="608"/>
      <c r="AF36" s="608"/>
      <c r="AG36" s="440"/>
      <c r="AH36" s="440"/>
      <c r="AI36" s="440"/>
      <c r="AJ36" s="584"/>
      <c r="AK36" s="609"/>
      <c r="AL36" s="441"/>
      <c r="AM36" s="607"/>
      <c r="AN36" s="608"/>
      <c r="AO36" s="608"/>
      <c r="AP36" s="440"/>
      <c r="AQ36" s="609"/>
    </row>
    <row r="37" spans="1:43" ht="60" x14ac:dyDescent="0.2">
      <c r="A37" s="602"/>
      <c r="B37" s="603" t="s">
        <v>467</v>
      </c>
      <c r="C37" s="593"/>
      <c r="D37" s="594"/>
      <c r="E37" s="594"/>
      <c r="F37" s="594"/>
      <c r="G37" s="594"/>
      <c r="H37" s="594"/>
      <c r="I37" s="594"/>
      <c r="J37" s="594"/>
      <c r="K37" s="594"/>
      <c r="L37" s="594"/>
      <c r="M37" s="594"/>
      <c r="N37" s="595"/>
      <c r="O37" s="594"/>
      <c r="P37" s="594"/>
      <c r="Q37" s="594"/>
      <c r="R37" s="594"/>
      <c r="S37" s="594"/>
      <c r="T37" s="594"/>
      <c r="U37" s="594"/>
      <c r="V37" s="594"/>
      <c r="W37" s="594"/>
      <c r="X37" s="594"/>
      <c r="Y37" s="595"/>
      <c r="Z37" s="604"/>
      <c r="AA37" s="605"/>
      <c r="AB37" s="605"/>
      <c r="AC37" s="606"/>
      <c r="AD37" s="607"/>
      <c r="AE37" s="608"/>
      <c r="AF37" s="608"/>
      <c r="AG37" s="440"/>
      <c r="AH37" s="440"/>
      <c r="AI37" s="440"/>
      <c r="AJ37" s="584"/>
      <c r="AK37" s="609"/>
      <c r="AL37" s="441"/>
      <c r="AM37" s="607"/>
      <c r="AN37" s="608"/>
      <c r="AO37" s="608"/>
      <c r="AP37" s="440"/>
      <c r="AQ37" s="609"/>
    </row>
    <row r="38" spans="1:43" x14ac:dyDescent="0.2">
      <c r="A38" s="602"/>
      <c r="B38" s="603" t="s">
        <v>393</v>
      </c>
      <c r="C38" s="593"/>
      <c r="D38" s="594"/>
      <c r="E38" s="594"/>
      <c r="F38" s="594"/>
      <c r="G38" s="594"/>
      <c r="H38" s="594"/>
      <c r="I38" s="594"/>
      <c r="J38" s="594"/>
      <c r="K38" s="594"/>
      <c r="L38" s="594"/>
      <c r="M38" s="594"/>
      <c r="N38" s="595"/>
      <c r="O38" s="594"/>
      <c r="P38" s="594"/>
      <c r="Q38" s="594"/>
      <c r="R38" s="594"/>
      <c r="S38" s="594"/>
      <c r="T38" s="594"/>
      <c r="U38" s="594"/>
      <c r="V38" s="594"/>
      <c r="W38" s="594"/>
      <c r="X38" s="594"/>
      <c r="Y38" s="595"/>
      <c r="Z38" s="604"/>
      <c r="AA38" s="605"/>
      <c r="AB38" s="605"/>
      <c r="AC38" s="606"/>
      <c r="AD38" s="607"/>
      <c r="AE38" s="608"/>
      <c r="AF38" s="608"/>
      <c r="AG38" s="440"/>
      <c r="AH38" s="440"/>
      <c r="AI38" s="440"/>
      <c r="AJ38" s="584"/>
      <c r="AK38" s="609"/>
      <c r="AL38" s="441"/>
      <c r="AM38" s="607"/>
      <c r="AN38" s="608"/>
      <c r="AO38" s="608"/>
      <c r="AP38" s="440"/>
      <c r="AQ38" s="609"/>
    </row>
    <row r="39" spans="1:43" ht="24" x14ac:dyDescent="0.2">
      <c r="A39" s="602"/>
      <c r="B39" s="603" t="s">
        <v>420</v>
      </c>
      <c r="C39" s="593"/>
      <c r="D39" s="594"/>
      <c r="E39" s="594"/>
      <c r="F39" s="594"/>
      <c r="G39" s="594"/>
      <c r="H39" s="594"/>
      <c r="I39" s="594"/>
      <c r="J39" s="594"/>
      <c r="K39" s="594"/>
      <c r="L39" s="594"/>
      <c r="M39" s="594"/>
      <c r="N39" s="595"/>
      <c r="O39" s="594"/>
      <c r="P39" s="594"/>
      <c r="Q39" s="594"/>
      <c r="R39" s="594"/>
      <c r="S39" s="594"/>
      <c r="T39" s="594"/>
      <c r="U39" s="594"/>
      <c r="V39" s="594"/>
      <c r="W39" s="594"/>
      <c r="X39" s="594"/>
      <c r="Y39" s="595"/>
      <c r="Z39" s="604"/>
      <c r="AA39" s="605"/>
      <c r="AB39" s="605"/>
      <c r="AC39" s="606"/>
      <c r="AD39" s="607"/>
      <c r="AE39" s="608"/>
      <c r="AF39" s="608"/>
      <c r="AG39" s="440"/>
      <c r="AH39" s="440"/>
      <c r="AI39" s="440"/>
      <c r="AJ39" s="584"/>
      <c r="AK39" s="609"/>
      <c r="AL39" s="441"/>
      <c r="AM39" s="607"/>
      <c r="AN39" s="608"/>
      <c r="AO39" s="608"/>
      <c r="AP39" s="440"/>
      <c r="AQ39" s="609"/>
    </row>
    <row r="40" spans="1:43" x14ac:dyDescent="0.2">
      <c r="A40" s="602"/>
      <c r="B40" s="603" t="s">
        <v>394</v>
      </c>
      <c r="C40" s="593"/>
      <c r="D40" s="594"/>
      <c r="E40" s="594"/>
      <c r="F40" s="594"/>
      <c r="G40" s="594"/>
      <c r="H40" s="594"/>
      <c r="I40" s="594"/>
      <c r="J40" s="594"/>
      <c r="K40" s="594"/>
      <c r="L40" s="594"/>
      <c r="M40" s="594"/>
      <c r="N40" s="595"/>
      <c r="O40" s="594"/>
      <c r="P40" s="594"/>
      <c r="Q40" s="594"/>
      <c r="R40" s="594"/>
      <c r="S40" s="594"/>
      <c r="T40" s="594"/>
      <c r="U40" s="594"/>
      <c r="V40" s="594"/>
      <c r="W40" s="594"/>
      <c r="X40" s="594"/>
      <c r="Y40" s="595"/>
      <c r="Z40" s="604"/>
      <c r="AA40" s="605"/>
      <c r="AB40" s="605"/>
      <c r="AC40" s="606"/>
      <c r="AD40" s="607"/>
      <c r="AE40" s="608"/>
      <c r="AF40" s="608"/>
      <c r="AG40" s="440"/>
      <c r="AH40" s="440"/>
      <c r="AI40" s="440"/>
      <c r="AJ40" s="584"/>
      <c r="AK40" s="609"/>
      <c r="AL40" s="441"/>
      <c r="AM40" s="607"/>
      <c r="AN40" s="608"/>
      <c r="AO40" s="608"/>
      <c r="AP40" s="440"/>
      <c r="AQ40" s="609"/>
    </row>
    <row r="41" spans="1:43" ht="24" x14ac:dyDescent="0.2">
      <c r="A41" s="602"/>
      <c r="B41" s="603" t="s">
        <v>421</v>
      </c>
      <c r="C41" s="593"/>
      <c r="D41" s="594"/>
      <c r="E41" s="594"/>
      <c r="F41" s="594"/>
      <c r="G41" s="594"/>
      <c r="H41" s="594"/>
      <c r="I41" s="594"/>
      <c r="J41" s="594"/>
      <c r="K41" s="594"/>
      <c r="L41" s="594"/>
      <c r="M41" s="594"/>
      <c r="N41" s="595"/>
      <c r="O41" s="594"/>
      <c r="P41" s="594"/>
      <c r="Q41" s="594"/>
      <c r="R41" s="594"/>
      <c r="S41" s="594"/>
      <c r="T41" s="594"/>
      <c r="U41" s="594"/>
      <c r="V41" s="594"/>
      <c r="W41" s="594"/>
      <c r="X41" s="594"/>
      <c r="Y41" s="595"/>
      <c r="Z41" s="604"/>
      <c r="AA41" s="605"/>
      <c r="AB41" s="605"/>
      <c r="AC41" s="606"/>
      <c r="AD41" s="607"/>
      <c r="AE41" s="608"/>
      <c r="AF41" s="608"/>
      <c r="AG41" s="440"/>
      <c r="AH41" s="440"/>
      <c r="AI41" s="440"/>
      <c r="AJ41" s="584"/>
      <c r="AK41" s="609"/>
      <c r="AL41" s="441"/>
      <c r="AM41" s="607"/>
      <c r="AN41" s="608"/>
      <c r="AO41" s="608"/>
      <c r="AP41" s="440"/>
      <c r="AQ41" s="609"/>
    </row>
    <row r="42" spans="1:43" x14ac:dyDescent="0.2">
      <c r="A42" s="602"/>
      <c r="B42" s="603" t="s">
        <v>394</v>
      </c>
      <c r="C42" s="593"/>
      <c r="D42" s="594"/>
      <c r="E42" s="594"/>
      <c r="F42" s="594"/>
      <c r="G42" s="594"/>
      <c r="H42" s="594"/>
      <c r="I42" s="594"/>
      <c r="J42" s="594"/>
      <c r="K42" s="594"/>
      <c r="L42" s="594"/>
      <c r="M42" s="594"/>
      <c r="N42" s="595"/>
      <c r="O42" s="594"/>
      <c r="P42" s="594"/>
      <c r="Q42" s="594"/>
      <c r="R42" s="594"/>
      <c r="S42" s="594"/>
      <c r="T42" s="594"/>
      <c r="U42" s="594"/>
      <c r="V42" s="594"/>
      <c r="W42" s="594"/>
      <c r="X42" s="594"/>
      <c r="Y42" s="595"/>
      <c r="Z42" s="604"/>
      <c r="AA42" s="605"/>
      <c r="AB42" s="605"/>
      <c r="AC42" s="606"/>
      <c r="AD42" s="607"/>
      <c r="AE42" s="608"/>
      <c r="AF42" s="608"/>
      <c r="AG42" s="440"/>
      <c r="AH42" s="440"/>
      <c r="AI42" s="440"/>
      <c r="AJ42" s="584"/>
      <c r="AK42" s="609"/>
      <c r="AL42" s="441"/>
      <c r="AM42" s="607"/>
      <c r="AN42" s="608"/>
      <c r="AO42" s="608"/>
      <c r="AP42" s="440"/>
      <c r="AQ42" s="609"/>
    </row>
    <row r="43" spans="1:43" x14ac:dyDescent="0.2">
      <c r="A43" s="602"/>
      <c r="B43" s="603" t="s">
        <v>422</v>
      </c>
      <c r="C43" s="593"/>
      <c r="D43" s="594"/>
      <c r="E43" s="594"/>
      <c r="F43" s="594"/>
      <c r="G43" s="594"/>
      <c r="H43" s="594"/>
      <c r="I43" s="594"/>
      <c r="J43" s="594"/>
      <c r="K43" s="594"/>
      <c r="L43" s="594"/>
      <c r="M43" s="594"/>
      <c r="N43" s="595"/>
      <c r="O43" s="594"/>
      <c r="P43" s="594"/>
      <c r="Q43" s="594"/>
      <c r="R43" s="594"/>
      <c r="S43" s="594"/>
      <c r="T43" s="594"/>
      <c r="U43" s="594"/>
      <c r="V43" s="594"/>
      <c r="W43" s="594"/>
      <c r="X43" s="594"/>
      <c r="Y43" s="595"/>
      <c r="Z43" s="604"/>
      <c r="AA43" s="605"/>
      <c r="AB43" s="605"/>
      <c r="AC43" s="606"/>
      <c r="AD43" s="607"/>
      <c r="AE43" s="608"/>
      <c r="AF43" s="608"/>
      <c r="AG43" s="440"/>
      <c r="AH43" s="440"/>
      <c r="AI43" s="440"/>
      <c r="AJ43" s="584"/>
      <c r="AK43" s="609"/>
      <c r="AL43" s="441"/>
      <c r="AM43" s="607"/>
      <c r="AN43" s="608"/>
      <c r="AO43" s="608"/>
      <c r="AP43" s="440"/>
      <c r="AQ43" s="609"/>
    </row>
    <row r="44" spans="1:43" x14ac:dyDescent="0.2">
      <c r="A44" s="602"/>
      <c r="B44" s="603" t="s">
        <v>394</v>
      </c>
      <c r="C44" s="593"/>
      <c r="D44" s="594"/>
      <c r="E44" s="594"/>
      <c r="F44" s="594"/>
      <c r="G44" s="594"/>
      <c r="H44" s="594"/>
      <c r="I44" s="594"/>
      <c r="J44" s="594"/>
      <c r="K44" s="594"/>
      <c r="L44" s="594"/>
      <c r="M44" s="594"/>
      <c r="N44" s="595"/>
      <c r="O44" s="594"/>
      <c r="P44" s="594"/>
      <c r="Q44" s="594"/>
      <c r="R44" s="594"/>
      <c r="S44" s="594"/>
      <c r="T44" s="594"/>
      <c r="U44" s="594"/>
      <c r="V44" s="594"/>
      <c r="W44" s="594"/>
      <c r="X44" s="594"/>
      <c r="Y44" s="595"/>
      <c r="Z44" s="604"/>
      <c r="AA44" s="605"/>
      <c r="AB44" s="605"/>
      <c r="AC44" s="606"/>
      <c r="AD44" s="607"/>
      <c r="AE44" s="608"/>
      <c r="AF44" s="608"/>
      <c r="AG44" s="440"/>
      <c r="AH44" s="440"/>
      <c r="AI44" s="440"/>
      <c r="AJ44" s="584"/>
      <c r="AK44" s="609"/>
      <c r="AL44" s="441"/>
      <c r="AM44" s="607"/>
      <c r="AN44" s="608"/>
      <c r="AO44" s="608"/>
      <c r="AP44" s="440"/>
      <c r="AQ44" s="609"/>
    </row>
    <row r="45" spans="1:43" x14ac:dyDescent="0.2">
      <c r="A45" s="602"/>
      <c r="B45" s="603" t="s">
        <v>395</v>
      </c>
      <c r="C45" s="593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5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5"/>
      <c r="Z45" s="604"/>
      <c r="AA45" s="605"/>
      <c r="AB45" s="605"/>
      <c r="AC45" s="606"/>
      <c r="AD45" s="607"/>
      <c r="AE45" s="608"/>
      <c r="AF45" s="608"/>
      <c r="AG45" s="440"/>
      <c r="AH45" s="440"/>
      <c r="AI45" s="440"/>
      <c r="AJ45" s="584"/>
      <c r="AK45" s="609"/>
      <c r="AL45" s="441"/>
      <c r="AM45" s="607"/>
      <c r="AN45" s="608"/>
      <c r="AO45" s="608"/>
      <c r="AP45" s="440"/>
      <c r="AQ45" s="609"/>
    </row>
    <row r="46" spans="1:43" ht="24" x14ac:dyDescent="0.2">
      <c r="A46" s="602"/>
      <c r="B46" s="603" t="s">
        <v>396</v>
      </c>
      <c r="C46" s="593"/>
      <c r="D46" s="594"/>
      <c r="E46" s="594"/>
      <c r="F46" s="594"/>
      <c r="G46" s="594"/>
      <c r="H46" s="594"/>
      <c r="I46" s="594"/>
      <c r="J46" s="594"/>
      <c r="K46" s="594"/>
      <c r="L46" s="594"/>
      <c r="M46" s="594"/>
      <c r="N46" s="595"/>
      <c r="O46" s="594"/>
      <c r="P46" s="594"/>
      <c r="Q46" s="594"/>
      <c r="R46" s="594"/>
      <c r="S46" s="594"/>
      <c r="T46" s="594"/>
      <c r="U46" s="594"/>
      <c r="V46" s="594"/>
      <c r="W46" s="594"/>
      <c r="X46" s="594"/>
      <c r="Y46" s="595"/>
      <c r="Z46" s="604"/>
      <c r="AA46" s="605"/>
      <c r="AB46" s="605"/>
      <c r="AC46" s="606"/>
      <c r="AD46" s="607"/>
      <c r="AE46" s="608"/>
      <c r="AF46" s="608"/>
      <c r="AG46" s="440"/>
      <c r="AH46" s="440"/>
      <c r="AI46" s="440"/>
      <c r="AJ46" s="584"/>
      <c r="AK46" s="609"/>
      <c r="AL46" s="441"/>
      <c r="AM46" s="607"/>
      <c r="AN46" s="608"/>
      <c r="AO46" s="608"/>
      <c r="AP46" s="440"/>
      <c r="AQ46" s="609"/>
    </row>
    <row r="47" spans="1:43" x14ac:dyDescent="0.2">
      <c r="A47" s="602"/>
      <c r="B47" s="603" t="s">
        <v>394</v>
      </c>
      <c r="C47" s="593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5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5"/>
      <c r="Z47" s="604"/>
      <c r="AA47" s="605"/>
      <c r="AB47" s="605"/>
      <c r="AC47" s="606"/>
      <c r="AD47" s="607"/>
      <c r="AE47" s="608"/>
      <c r="AF47" s="608"/>
      <c r="AG47" s="440"/>
      <c r="AH47" s="440"/>
      <c r="AI47" s="440"/>
      <c r="AJ47" s="584"/>
      <c r="AK47" s="609"/>
      <c r="AL47" s="441"/>
      <c r="AM47" s="607"/>
      <c r="AN47" s="608"/>
      <c r="AO47" s="608"/>
      <c r="AP47" s="440"/>
      <c r="AQ47" s="609"/>
    </row>
    <row r="48" spans="1:43" x14ac:dyDescent="0.2">
      <c r="A48" s="602"/>
      <c r="B48" s="603" t="s">
        <v>397</v>
      </c>
      <c r="C48" s="593"/>
      <c r="D48" s="594"/>
      <c r="E48" s="594"/>
      <c r="F48" s="594"/>
      <c r="G48" s="594"/>
      <c r="H48" s="594"/>
      <c r="I48" s="594"/>
      <c r="J48" s="594"/>
      <c r="K48" s="594"/>
      <c r="L48" s="594"/>
      <c r="M48" s="594"/>
      <c r="N48" s="595"/>
      <c r="O48" s="594"/>
      <c r="P48" s="594"/>
      <c r="Q48" s="594"/>
      <c r="R48" s="594"/>
      <c r="S48" s="594"/>
      <c r="T48" s="594"/>
      <c r="U48" s="594"/>
      <c r="V48" s="594"/>
      <c r="W48" s="594"/>
      <c r="X48" s="594"/>
      <c r="Y48" s="595"/>
      <c r="Z48" s="604"/>
      <c r="AA48" s="605"/>
      <c r="AB48" s="605"/>
      <c r="AC48" s="606"/>
      <c r="AD48" s="607"/>
      <c r="AE48" s="608"/>
      <c r="AF48" s="608"/>
      <c r="AG48" s="440"/>
      <c r="AH48" s="440"/>
      <c r="AI48" s="440"/>
      <c r="AJ48" s="584"/>
      <c r="AK48" s="609"/>
      <c r="AL48" s="441"/>
      <c r="AM48" s="607"/>
      <c r="AN48" s="608"/>
      <c r="AO48" s="608"/>
      <c r="AP48" s="440"/>
      <c r="AQ48" s="609"/>
    </row>
    <row r="49" spans="1:43" x14ac:dyDescent="0.2">
      <c r="A49" s="602"/>
      <c r="B49" s="603" t="s">
        <v>394</v>
      </c>
      <c r="C49" s="593"/>
      <c r="D49" s="594"/>
      <c r="E49" s="594"/>
      <c r="F49" s="594"/>
      <c r="G49" s="594"/>
      <c r="H49" s="594"/>
      <c r="I49" s="594"/>
      <c r="J49" s="594"/>
      <c r="K49" s="594"/>
      <c r="L49" s="594"/>
      <c r="M49" s="594"/>
      <c r="N49" s="595"/>
      <c r="O49" s="594"/>
      <c r="P49" s="594"/>
      <c r="Q49" s="594"/>
      <c r="R49" s="594"/>
      <c r="S49" s="594"/>
      <c r="T49" s="594"/>
      <c r="U49" s="594"/>
      <c r="V49" s="594"/>
      <c r="W49" s="594"/>
      <c r="X49" s="594"/>
      <c r="Y49" s="595"/>
      <c r="Z49" s="604"/>
      <c r="AA49" s="605"/>
      <c r="AB49" s="605"/>
      <c r="AC49" s="606"/>
      <c r="AD49" s="607"/>
      <c r="AE49" s="608"/>
      <c r="AF49" s="608"/>
      <c r="AG49" s="440"/>
      <c r="AH49" s="440"/>
      <c r="AI49" s="440"/>
      <c r="AJ49" s="584"/>
      <c r="AK49" s="609"/>
      <c r="AL49" s="441"/>
      <c r="AM49" s="607"/>
      <c r="AN49" s="608"/>
      <c r="AO49" s="608"/>
      <c r="AP49" s="440"/>
      <c r="AQ49" s="609"/>
    </row>
    <row r="50" spans="1:43" x14ac:dyDescent="0.2">
      <c r="A50" s="602"/>
      <c r="B50" s="603" t="s">
        <v>423</v>
      </c>
      <c r="C50" s="593"/>
      <c r="D50" s="594"/>
      <c r="E50" s="594"/>
      <c r="F50" s="594"/>
      <c r="G50" s="594"/>
      <c r="H50" s="594"/>
      <c r="I50" s="594"/>
      <c r="J50" s="594"/>
      <c r="K50" s="594"/>
      <c r="L50" s="594"/>
      <c r="M50" s="594"/>
      <c r="N50" s="595"/>
      <c r="O50" s="594"/>
      <c r="P50" s="594"/>
      <c r="Q50" s="594"/>
      <c r="R50" s="594"/>
      <c r="S50" s="594"/>
      <c r="T50" s="594"/>
      <c r="U50" s="594"/>
      <c r="V50" s="594"/>
      <c r="W50" s="594"/>
      <c r="X50" s="594"/>
      <c r="Y50" s="595"/>
      <c r="Z50" s="604"/>
      <c r="AA50" s="605"/>
      <c r="AB50" s="605"/>
      <c r="AC50" s="606"/>
      <c r="AD50" s="607"/>
      <c r="AE50" s="608"/>
      <c r="AF50" s="608"/>
      <c r="AG50" s="440"/>
      <c r="AH50" s="440"/>
      <c r="AI50" s="440"/>
      <c r="AJ50" s="584"/>
      <c r="AK50" s="609"/>
      <c r="AL50" s="441"/>
      <c r="AM50" s="607"/>
      <c r="AN50" s="608"/>
      <c r="AO50" s="608"/>
      <c r="AP50" s="440"/>
      <c r="AQ50" s="609"/>
    </row>
    <row r="51" spans="1:43" x14ac:dyDescent="0.2">
      <c r="A51" s="602"/>
      <c r="B51" s="603" t="s">
        <v>394</v>
      </c>
      <c r="C51" s="593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5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5"/>
      <c r="Z51" s="604"/>
      <c r="AA51" s="605"/>
      <c r="AB51" s="605"/>
      <c r="AC51" s="606"/>
      <c r="AD51" s="607"/>
      <c r="AE51" s="608"/>
      <c r="AF51" s="608"/>
      <c r="AG51" s="440"/>
      <c r="AH51" s="440"/>
      <c r="AI51" s="440"/>
      <c r="AJ51" s="584"/>
      <c r="AK51" s="609"/>
      <c r="AL51" s="441"/>
      <c r="AM51" s="607"/>
      <c r="AN51" s="608"/>
      <c r="AO51" s="608"/>
      <c r="AP51" s="440"/>
      <c r="AQ51" s="609"/>
    </row>
    <row r="52" spans="1:43" x14ac:dyDescent="0.2">
      <c r="A52" s="602"/>
      <c r="B52" s="603" t="s">
        <v>398</v>
      </c>
      <c r="C52" s="593"/>
      <c r="D52" s="594"/>
      <c r="E52" s="594"/>
      <c r="F52" s="594"/>
      <c r="G52" s="594"/>
      <c r="H52" s="594"/>
      <c r="I52" s="594"/>
      <c r="J52" s="594"/>
      <c r="K52" s="594"/>
      <c r="L52" s="594"/>
      <c r="M52" s="594"/>
      <c r="N52" s="595"/>
      <c r="O52" s="594"/>
      <c r="P52" s="594"/>
      <c r="Q52" s="594"/>
      <c r="R52" s="594"/>
      <c r="S52" s="594"/>
      <c r="T52" s="594"/>
      <c r="U52" s="594"/>
      <c r="V52" s="594"/>
      <c r="W52" s="594"/>
      <c r="X52" s="594"/>
      <c r="Y52" s="595"/>
      <c r="Z52" s="604"/>
      <c r="AA52" s="605"/>
      <c r="AB52" s="605"/>
      <c r="AC52" s="606"/>
      <c r="AD52" s="607"/>
      <c r="AE52" s="608"/>
      <c r="AF52" s="608"/>
      <c r="AG52" s="440"/>
      <c r="AH52" s="440"/>
      <c r="AI52" s="440"/>
      <c r="AJ52" s="584"/>
      <c r="AK52" s="609"/>
      <c r="AL52" s="441"/>
      <c r="AM52" s="607"/>
      <c r="AN52" s="608"/>
      <c r="AO52" s="608"/>
      <c r="AP52" s="440"/>
      <c r="AQ52" s="609"/>
    </row>
    <row r="53" spans="1:43" ht="24" x14ac:dyDescent="0.2">
      <c r="A53" s="602"/>
      <c r="B53" s="603" t="s">
        <v>399</v>
      </c>
      <c r="C53" s="593"/>
      <c r="D53" s="594"/>
      <c r="E53" s="594"/>
      <c r="F53" s="594"/>
      <c r="G53" s="594"/>
      <c r="H53" s="594"/>
      <c r="I53" s="594"/>
      <c r="J53" s="594"/>
      <c r="K53" s="594"/>
      <c r="L53" s="594"/>
      <c r="M53" s="594"/>
      <c r="N53" s="595"/>
      <c r="O53" s="594"/>
      <c r="P53" s="594"/>
      <c r="Q53" s="594"/>
      <c r="R53" s="594"/>
      <c r="S53" s="594"/>
      <c r="T53" s="594"/>
      <c r="U53" s="594"/>
      <c r="V53" s="594"/>
      <c r="W53" s="594"/>
      <c r="X53" s="594"/>
      <c r="Y53" s="595"/>
      <c r="Z53" s="604"/>
      <c r="AA53" s="605"/>
      <c r="AB53" s="605"/>
      <c r="AC53" s="606"/>
      <c r="AD53" s="607"/>
      <c r="AE53" s="608"/>
      <c r="AF53" s="608"/>
      <c r="AG53" s="440"/>
      <c r="AH53" s="440"/>
      <c r="AI53" s="440"/>
      <c r="AJ53" s="584"/>
      <c r="AK53" s="609"/>
      <c r="AL53" s="441"/>
      <c r="AM53" s="607"/>
      <c r="AN53" s="608"/>
      <c r="AO53" s="608"/>
      <c r="AP53" s="440"/>
      <c r="AQ53" s="609"/>
    </row>
    <row r="54" spans="1:43" x14ac:dyDescent="0.2">
      <c r="A54" s="602"/>
      <c r="B54" s="603" t="s">
        <v>400</v>
      </c>
      <c r="C54" s="593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5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5"/>
      <c r="Z54" s="604"/>
      <c r="AA54" s="605"/>
      <c r="AB54" s="605"/>
      <c r="AC54" s="606"/>
      <c r="AD54" s="607"/>
      <c r="AE54" s="608"/>
      <c r="AF54" s="608"/>
      <c r="AG54" s="440"/>
      <c r="AH54" s="440"/>
      <c r="AI54" s="440"/>
      <c r="AJ54" s="584"/>
      <c r="AK54" s="609"/>
      <c r="AL54" s="441"/>
      <c r="AM54" s="607"/>
      <c r="AN54" s="608"/>
      <c r="AO54" s="608"/>
      <c r="AP54" s="440"/>
      <c r="AQ54" s="609"/>
    </row>
    <row r="55" spans="1:43" ht="24" x14ac:dyDescent="0.2">
      <c r="A55" s="602"/>
      <c r="B55" s="603" t="s">
        <v>401</v>
      </c>
      <c r="C55" s="593"/>
      <c r="D55" s="594"/>
      <c r="E55" s="594"/>
      <c r="F55" s="594"/>
      <c r="G55" s="594"/>
      <c r="H55" s="594"/>
      <c r="I55" s="594"/>
      <c r="J55" s="594"/>
      <c r="K55" s="594"/>
      <c r="L55" s="594"/>
      <c r="M55" s="594"/>
      <c r="N55" s="595"/>
      <c r="O55" s="594"/>
      <c r="P55" s="594"/>
      <c r="Q55" s="594"/>
      <c r="R55" s="594"/>
      <c r="S55" s="594"/>
      <c r="T55" s="594"/>
      <c r="U55" s="594"/>
      <c r="V55" s="594"/>
      <c r="W55" s="594"/>
      <c r="X55" s="594"/>
      <c r="Y55" s="595"/>
      <c r="Z55" s="604"/>
      <c r="AA55" s="605"/>
      <c r="AB55" s="605"/>
      <c r="AC55" s="606"/>
      <c r="AD55" s="607"/>
      <c r="AE55" s="608"/>
      <c r="AF55" s="608"/>
      <c r="AG55" s="440"/>
      <c r="AH55" s="440"/>
      <c r="AI55" s="440"/>
      <c r="AJ55" s="584"/>
      <c r="AK55" s="609"/>
      <c r="AL55" s="441"/>
      <c r="AM55" s="607"/>
      <c r="AN55" s="608"/>
      <c r="AO55" s="608"/>
      <c r="AP55" s="440"/>
      <c r="AQ55" s="609"/>
    </row>
    <row r="56" spans="1:43" ht="24" x14ac:dyDescent="0.2">
      <c r="A56" s="602"/>
      <c r="B56" s="603" t="s">
        <v>402</v>
      </c>
      <c r="C56" s="593"/>
      <c r="D56" s="594"/>
      <c r="E56" s="594"/>
      <c r="F56" s="594"/>
      <c r="G56" s="594"/>
      <c r="H56" s="594"/>
      <c r="I56" s="594"/>
      <c r="J56" s="594"/>
      <c r="K56" s="594"/>
      <c r="L56" s="594"/>
      <c r="M56" s="594"/>
      <c r="N56" s="595"/>
      <c r="O56" s="594"/>
      <c r="P56" s="594"/>
      <c r="Q56" s="594"/>
      <c r="R56" s="594"/>
      <c r="S56" s="594"/>
      <c r="T56" s="594"/>
      <c r="U56" s="594"/>
      <c r="V56" s="594"/>
      <c r="W56" s="594"/>
      <c r="X56" s="594"/>
      <c r="Y56" s="595"/>
      <c r="Z56" s="604"/>
      <c r="AA56" s="605"/>
      <c r="AB56" s="605"/>
      <c r="AC56" s="606"/>
      <c r="AD56" s="607"/>
      <c r="AE56" s="608"/>
      <c r="AF56" s="608"/>
      <c r="AG56" s="440"/>
      <c r="AH56" s="440"/>
      <c r="AI56" s="440"/>
      <c r="AJ56" s="584"/>
      <c r="AK56" s="609"/>
      <c r="AL56" s="441"/>
      <c r="AM56" s="607"/>
      <c r="AN56" s="608"/>
      <c r="AO56" s="608"/>
      <c r="AP56" s="440"/>
      <c r="AQ56" s="609"/>
    </row>
    <row r="57" spans="1:43" ht="24" x14ac:dyDescent="0.2">
      <c r="A57" s="602"/>
      <c r="B57" s="603" t="s">
        <v>403</v>
      </c>
      <c r="C57" s="593"/>
      <c r="D57" s="594"/>
      <c r="E57" s="594"/>
      <c r="F57" s="594"/>
      <c r="G57" s="594"/>
      <c r="H57" s="594"/>
      <c r="I57" s="594"/>
      <c r="J57" s="594"/>
      <c r="K57" s="594"/>
      <c r="L57" s="594"/>
      <c r="M57" s="594"/>
      <c r="N57" s="595"/>
      <c r="O57" s="594"/>
      <c r="P57" s="594"/>
      <c r="Q57" s="594"/>
      <c r="R57" s="594"/>
      <c r="S57" s="594"/>
      <c r="T57" s="594"/>
      <c r="U57" s="594"/>
      <c r="V57" s="594"/>
      <c r="W57" s="594"/>
      <c r="X57" s="594"/>
      <c r="Y57" s="595"/>
      <c r="Z57" s="604"/>
      <c r="AA57" s="605"/>
      <c r="AB57" s="605"/>
      <c r="AC57" s="606"/>
      <c r="AD57" s="607"/>
      <c r="AE57" s="608"/>
      <c r="AF57" s="608"/>
      <c r="AG57" s="440"/>
      <c r="AH57" s="440"/>
      <c r="AI57" s="440"/>
      <c r="AJ57" s="584"/>
      <c r="AK57" s="609"/>
      <c r="AL57" s="441"/>
      <c r="AM57" s="607"/>
      <c r="AN57" s="608"/>
      <c r="AO57" s="608"/>
      <c r="AP57" s="440"/>
      <c r="AQ57" s="609"/>
    </row>
    <row r="58" spans="1:43" ht="36" x14ac:dyDescent="0.2">
      <c r="A58" s="602"/>
      <c r="B58" s="603" t="s">
        <v>404</v>
      </c>
      <c r="C58" s="593"/>
      <c r="D58" s="594"/>
      <c r="E58" s="594"/>
      <c r="F58" s="594"/>
      <c r="G58" s="594"/>
      <c r="H58" s="594"/>
      <c r="I58" s="594"/>
      <c r="J58" s="594"/>
      <c r="K58" s="594"/>
      <c r="L58" s="594"/>
      <c r="M58" s="594"/>
      <c r="N58" s="595"/>
      <c r="O58" s="594"/>
      <c r="P58" s="594"/>
      <c r="Q58" s="594"/>
      <c r="R58" s="594"/>
      <c r="S58" s="594"/>
      <c r="T58" s="594"/>
      <c r="U58" s="594"/>
      <c r="V58" s="594"/>
      <c r="W58" s="594"/>
      <c r="X58" s="594"/>
      <c r="Y58" s="595"/>
      <c r="Z58" s="604"/>
      <c r="AA58" s="605"/>
      <c r="AB58" s="605"/>
      <c r="AC58" s="606"/>
      <c r="AD58" s="607"/>
      <c r="AE58" s="608"/>
      <c r="AF58" s="608"/>
      <c r="AG58" s="440"/>
      <c r="AH58" s="440"/>
      <c r="AI58" s="440"/>
      <c r="AJ58" s="584"/>
      <c r="AK58" s="609"/>
      <c r="AL58" s="441"/>
      <c r="AM58" s="607"/>
      <c r="AN58" s="608"/>
      <c r="AO58" s="608"/>
      <c r="AP58" s="440"/>
      <c r="AQ58" s="609"/>
    </row>
    <row r="59" spans="1:43" ht="36" x14ac:dyDescent="0.2">
      <c r="A59" s="602"/>
      <c r="B59" s="603" t="s">
        <v>424</v>
      </c>
      <c r="C59" s="593"/>
      <c r="D59" s="594"/>
      <c r="E59" s="594"/>
      <c r="F59" s="594"/>
      <c r="G59" s="594"/>
      <c r="H59" s="594"/>
      <c r="I59" s="594"/>
      <c r="J59" s="594"/>
      <c r="K59" s="594"/>
      <c r="L59" s="594"/>
      <c r="M59" s="594"/>
      <c r="N59" s="595"/>
      <c r="O59" s="594"/>
      <c r="P59" s="594"/>
      <c r="Q59" s="594"/>
      <c r="R59" s="594"/>
      <c r="S59" s="594"/>
      <c r="T59" s="594"/>
      <c r="U59" s="594"/>
      <c r="V59" s="594"/>
      <c r="W59" s="594"/>
      <c r="X59" s="594"/>
      <c r="Y59" s="595"/>
      <c r="Z59" s="604"/>
      <c r="AA59" s="605"/>
      <c r="AB59" s="605"/>
      <c r="AC59" s="606"/>
      <c r="AD59" s="607"/>
      <c r="AE59" s="608"/>
      <c r="AF59" s="608"/>
      <c r="AG59" s="440"/>
      <c r="AH59" s="440"/>
      <c r="AI59" s="440"/>
      <c r="AJ59" s="584"/>
      <c r="AK59" s="609"/>
      <c r="AL59" s="441"/>
      <c r="AM59" s="607"/>
      <c r="AN59" s="608"/>
      <c r="AO59" s="608"/>
      <c r="AP59" s="440"/>
      <c r="AQ59" s="609"/>
    </row>
    <row r="60" spans="1:43" x14ac:dyDescent="0.2">
      <c r="A60" s="602"/>
      <c r="B60" s="603" t="s">
        <v>407</v>
      </c>
      <c r="C60" s="593"/>
      <c r="D60" s="594"/>
      <c r="E60" s="594"/>
      <c r="F60" s="594"/>
      <c r="G60" s="594"/>
      <c r="H60" s="594"/>
      <c r="I60" s="594"/>
      <c r="J60" s="594"/>
      <c r="K60" s="594"/>
      <c r="L60" s="594"/>
      <c r="M60" s="594"/>
      <c r="N60" s="595"/>
      <c r="O60" s="594"/>
      <c r="P60" s="594"/>
      <c r="Q60" s="594"/>
      <c r="R60" s="594"/>
      <c r="S60" s="594"/>
      <c r="T60" s="594"/>
      <c r="U60" s="594"/>
      <c r="V60" s="594"/>
      <c r="W60" s="594"/>
      <c r="X60" s="594"/>
      <c r="Y60" s="595"/>
      <c r="Z60" s="604"/>
      <c r="AA60" s="605"/>
      <c r="AB60" s="605"/>
      <c r="AC60" s="606"/>
      <c r="AD60" s="607"/>
      <c r="AE60" s="608"/>
      <c r="AF60" s="608"/>
      <c r="AG60" s="440"/>
      <c r="AH60" s="440"/>
      <c r="AI60" s="440"/>
      <c r="AJ60" s="584"/>
      <c r="AK60" s="609"/>
      <c r="AL60" s="441"/>
      <c r="AM60" s="607"/>
      <c r="AN60" s="608"/>
      <c r="AO60" s="608"/>
      <c r="AP60" s="440"/>
      <c r="AQ60" s="609"/>
    </row>
    <row r="61" spans="1:43" ht="24" x14ac:dyDescent="0.2">
      <c r="A61" s="602"/>
      <c r="B61" s="603" t="s">
        <v>408</v>
      </c>
      <c r="C61" s="593"/>
      <c r="D61" s="594"/>
      <c r="E61" s="594"/>
      <c r="F61" s="594"/>
      <c r="G61" s="594"/>
      <c r="H61" s="594"/>
      <c r="I61" s="594"/>
      <c r="J61" s="594"/>
      <c r="K61" s="594"/>
      <c r="L61" s="594"/>
      <c r="M61" s="594"/>
      <c r="N61" s="595"/>
      <c r="O61" s="594"/>
      <c r="P61" s="594"/>
      <c r="Q61" s="594"/>
      <c r="R61" s="594"/>
      <c r="S61" s="594"/>
      <c r="T61" s="594"/>
      <c r="U61" s="594"/>
      <c r="V61" s="594"/>
      <c r="W61" s="594"/>
      <c r="X61" s="594"/>
      <c r="Y61" s="595"/>
      <c r="Z61" s="604"/>
      <c r="AA61" s="605"/>
      <c r="AB61" s="605"/>
      <c r="AC61" s="606"/>
      <c r="AD61" s="607"/>
      <c r="AE61" s="608"/>
      <c r="AF61" s="608"/>
      <c r="AG61" s="440"/>
      <c r="AH61" s="440"/>
      <c r="AI61" s="440"/>
      <c r="AJ61" s="584"/>
      <c r="AK61" s="609"/>
      <c r="AL61" s="441"/>
      <c r="AM61" s="607"/>
      <c r="AN61" s="608"/>
      <c r="AO61" s="608"/>
      <c r="AP61" s="440"/>
      <c r="AQ61" s="609"/>
    </row>
    <row r="62" spans="1:43" x14ac:dyDescent="0.2">
      <c r="A62" s="602"/>
      <c r="B62" s="603" t="s">
        <v>409</v>
      </c>
      <c r="C62" s="593"/>
      <c r="D62" s="594"/>
      <c r="E62" s="594"/>
      <c r="F62" s="594"/>
      <c r="G62" s="594"/>
      <c r="H62" s="594"/>
      <c r="I62" s="594"/>
      <c r="J62" s="594"/>
      <c r="K62" s="594"/>
      <c r="L62" s="594"/>
      <c r="M62" s="594"/>
      <c r="N62" s="595"/>
      <c r="O62" s="594"/>
      <c r="P62" s="594"/>
      <c r="Q62" s="594"/>
      <c r="R62" s="594"/>
      <c r="S62" s="594"/>
      <c r="T62" s="594"/>
      <c r="U62" s="594"/>
      <c r="V62" s="594"/>
      <c r="W62" s="594"/>
      <c r="X62" s="594"/>
      <c r="Y62" s="595"/>
      <c r="Z62" s="604"/>
      <c r="AA62" s="605"/>
      <c r="AB62" s="605"/>
      <c r="AC62" s="606"/>
      <c r="AD62" s="607"/>
      <c r="AE62" s="608"/>
      <c r="AF62" s="608"/>
      <c r="AG62" s="440"/>
      <c r="AH62" s="440"/>
      <c r="AI62" s="440"/>
      <c r="AJ62" s="584"/>
      <c r="AK62" s="609"/>
      <c r="AL62" s="441"/>
      <c r="AM62" s="607"/>
      <c r="AN62" s="608"/>
      <c r="AO62" s="608"/>
      <c r="AP62" s="440"/>
      <c r="AQ62" s="609"/>
    </row>
    <row r="63" spans="1:43" x14ac:dyDescent="0.2">
      <c r="A63" s="602"/>
      <c r="B63" s="603" t="s">
        <v>410</v>
      </c>
      <c r="C63" s="593"/>
      <c r="D63" s="594"/>
      <c r="E63" s="594"/>
      <c r="F63" s="594"/>
      <c r="G63" s="594"/>
      <c r="H63" s="594"/>
      <c r="I63" s="594"/>
      <c r="J63" s="594"/>
      <c r="K63" s="594"/>
      <c r="L63" s="594"/>
      <c r="M63" s="594"/>
      <c r="N63" s="595"/>
      <c r="O63" s="594"/>
      <c r="P63" s="594"/>
      <c r="Q63" s="594"/>
      <c r="R63" s="594"/>
      <c r="S63" s="594"/>
      <c r="T63" s="594"/>
      <c r="U63" s="594"/>
      <c r="V63" s="594"/>
      <c r="W63" s="594"/>
      <c r="X63" s="594"/>
      <c r="Y63" s="595"/>
      <c r="Z63" s="604"/>
      <c r="AA63" s="605"/>
      <c r="AB63" s="605"/>
      <c r="AC63" s="606"/>
      <c r="AD63" s="607"/>
      <c r="AE63" s="608"/>
      <c r="AF63" s="608"/>
      <c r="AG63" s="440"/>
      <c r="AH63" s="440"/>
      <c r="AI63" s="440"/>
      <c r="AJ63" s="584"/>
      <c r="AK63" s="609"/>
      <c r="AL63" s="441"/>
      <c r="AM63" s="607"/>
      <c r="AN63" s="608"/>
      <c r="AO63" s="608"/>
      <c r="AP63" s="440"/>
      <c r="AQ63" s="609"/>
    </row>
    <row r="64" spans="1:43" x14ac:dyDescent="0.2">
      <c r="A64" s="602"/>
      <c r="B64" s="603" t="s">
        <v>411</v>
      </c>
      <c r="C64" s="593"/>
      <c r="D64" s="594"/>
      <c r="E64" s="594"/>
      <c r="F64" s="594"/>
      <c r="G64" s="594"/>
      <c r="H64" s="594"/>
      <c r="I64" s="594"/>
      <c r="J64" s="594"/>
      <c r="K64" s="594"/>
      <c r="L64" s="594"/>
      <c r="M64" s="594"/>
      <c r="N64" s="595"/>
      <c r="O64" s="594"/>
      <c r="P64" s="594"/>
      <c r="Q64" s="594"/>
      <c r="R64" s="594"/>
      <c r="S64" s="594"/>
      <c r="T64" s="594"/>
      <c r="U64" s="594"/>
      <c r="V64" s="594"/>
      <c r="W64" s="594"/>
      <c r="X64" s="594"/>
      <c r="Y64" s="595"/>
      <c r="Z64" s="604"/>
      <c r="AA64" s="605"/>
      <c r="AB64" s="605"/>
      <c r="AC64" s="606"/>
      <c r="AD64" s="607"/>
      <c r="AE64" s="608"/>
      <c r="AF64" s="608"/>
      <c r="AG64" s="440"/>
      <c r="AH64" s="440"/>
      <c r="AI64" s="440"/>
      <c r="AJ64" s="584"/>
      <c r="AK64" s="609"/>
      <c r="AL64" s="441"/>
      <c r="AM64" s="607"/>
      <c r="AN64" s="608"/>
      <c r="AO64" s="608"/>
      <c r="AP64" s="440"/>
      <c r="AQ64" s="609"/>
    </row>
    <row r="65" spans="1:43" x14ac:dyDescent="0.2">
      <c r="A65" s="602"/>
      <c r="B65" s="603" t="s">
        <v>412</v>
      </c>
      <c r="C65" s="593"/>
      <c r="D65" s="594"/>
      <c r="E65" s="594"/>
      <c r="F65" s="594"/>
      <c r="G65" s="594"/>
      <c r="H65" s="594"/>
      <c r="I65" s="594"/>
      <c r="J65" s="594"/>
      <c r="K65" s="594"/>
      <c r="L65" s="594"/>
      <c r="M65" s="594"/>
      <c r="N65" s="595"/>
      <c r="O65" s="594"/>
      <c r="P65" s="594"/>
      <c r="Q65" s="594"/>
      <c r="R65" s="594"/>
      <c r="S65" s="594"/>
      <c r="T65" s="594"/>
      <c r="U65" s="594"/>
      <c r="V65" s="594"/>
      <c r="W65" s="594"/>
      <c r="X65" s="594"/>
      <c r="Y65" s="595"/>
      <c r="Z65" s="604"/>
      <c r="AA65" s="605"/>
      <c r="AB65" s="605"/>
      <c r="AC65" s="606"/>
      <c r="AD65" s="607"/>
      <c r="AE65" s="608"/>
      <c r="AF65" s="608"/>
      <c r="AG65" s="440"/>
      <c r="AH65" s="440"/>
      <c r="AI65" s="440"/>
      <c r="AJ65" s="584"/>
      <c r="AK65" s="609"/>
      <c r="AL65" s="441"/>
      <c r="AM65" s="607"/>
      <c r="AN65" s="608"/>
      <c r="AO65" s="608"/>
      <c r="AP65" s="440"/>
      <c r="AQ65" s="609"/>
    </row>
    <row r="66" spans="1:43" ht="24" x14ac:dyDescent="0.2">
      <c r="A66" s="602"/>
      <c r="B66" s="603" t="s">
        <v>469</v>
      </c>
      <c r="C66" s="593"/>
      <c r="D66" s="594"/>
      <c r="E66" s="594"/>
      <c r="F66" s="594"/>
      <c r="G66" s="594"/>
      <c r="H66" s="594"/>
      <c r="I66" s="594"/>
      <c r="J66" s="594"/>
      <c r="K66" s="594"/>
      <c r="L66" s="594"/>
      <c r="M66" s="594"/>
      <c r="N66" s="595"/>
      <c r="O66" s="594"/>
      <c r="P66" s="594"/>
      <c r="Q66" s="594"/>
      <c r="R66" s="594"/>
      <c r="S66" s="594"/>
      <c r="T66" s="594"/>
      <c r="U66" s="594"/>
      <c r="V66" s="594"/>
      <c r="W66" s="594"/>
      <c r="X66" s="594"/>
      <c r="Y66" s="595"/>
      <c r="Z66" s="604"/>
      <c r="AA66" s="605"/>
      <c r="AB66" s="605"/>
      <c r="AC66" s="606"/>
      <c r="AD66" s="607"/>
      <c r="AE66" s="608"/>
      <c r="AF66" s="608"/>
      <c r="AG66" s="440"/>
      <c r="AH66" s="440"/>
      <c r="AI66" s="440"/>
      <c r="AJ66" s="584"/>
      <c r="AK66" s="609"/>
      <c r="AL66" s="441"/>
      <c r="AM66" s="607"/>
      <c r="AN66" s="608"/>
      <c r="AO66" s="608"/>
      <c r="AP66" s="440"/>
      <c r="AQ66" s="609"/>
    </row>
    <row r="67" spans="1:43" x14ac:dyDescent="0.2">
      <c r="A67" s="602"/>
      <c r="B67" s="603" t="s">
        <v>474</v>
      </c>
      <c r="C67" s="593"/>
      <c r="D67" s="594"/>
      <c r="E67" s="594"/>
      <c r="F67" s="594"/>
      <c r="G67" s="594"/>
      <c r="H67" s="594"/>
      <c r="I67" s="594"/>
      <c r="J67" s="594"/>
      <c r="K67" s="594"/>
      <c r="L67" s="594"/>
      <c r="M67" s="594"/>
      <c r="N67" s="595"/>
      <c r="O67" s="594"/>
      <c r="P67" s="594"/>
      <c r="Q67" s="594"/>
      <c r="R67" s="594"/>
      <c r="S67" s="594"/>
      <c r="T67" s="594"/>
      <c r="U67" s="594"/>
      <c r="V67" s="594"/>
      <c r="W67" s="594"/>
      <c r="X67" s="594"/>
      <c r="Y67" s="595"/>
      <c r="Z67" s="604"/>
      <c r="AA67" s="605"/>
      <c r="AB67" s="605"/>
      <c r="AC67" s="606"/>
      <c r="AD67" s="607"/>
      <c r="AE67" s="608"/>
      <c r="AF67" s="608"/>
      <c r="AG67" s="440"/>
      <c r="AH67" s="440"/>
      <c r="AI67" s="440"/>
      <c r="AJ67" s="584"/>
      <c r="AK67" s="609"/>
      <c r="AL67" s="441"/>
      <c r="AM67" s="607"/>
      <c r="AN67" s="608"/>
      <c r="AO67" s="608"/>
      <c r="AP67" s="440"/>
      <c r="AQ67" s="609"/>
    </row>
    <row r="68" spans="1:43" ht="24" x14ac:dyDescent="0.2">
      <c r="A68" s="602"/>
      <c r="B68" s="603" t="s">
        <v>470</v>
      </c>
      <c r="C68" s="593"/>
      <c r="D68" s="594"/>
      <c r="E68" s="594"/>
      <c r="F68" s="594"/>
      <c r="G68" s="594"/>
      <c r="H68" s="594"/>
      <c r="I68" s="594"/>
      <c r="J68" s="594"/>
      <c r="K68" s="594"/>
      <c r="L68" s="594"/>
      <c r="M68" s="594"/>
      <c r="N68" s="595"/>
      <c r="O68" s="594"/>
      <c r="P68" s="594"/>
      <c r="Q68" s="594"/>
      <c r="R68" s="594"/>
      <c r="S68" s="594"/>
      <c r="T68" s="594"/>
      <c r="U68" s="594"/>
      <c r="V68" s="594"/>
      <c r="W68" s="594"/>
      <c r="X68" s="594"/>
      <c r="Y68" s="595"/>
      <c r="Z68" s="604"/>
      <c r="AA68" s="605"/>
      <c r="AB68" s="605"/>
      <c r="AC68" s="606"/>
      <c r="AD68" s="607"/>
      <c r="AE68" s="608"/>
      <c r="AF68" s="608"/>
      <c r="AG68" s="440"/>
      <c r="AH68" s="440"/>
      <c r="AI68" s="440"/>
      <c r="AJ68" s="584"/>
      <c r="AK68" s="609"/>
      <c r="AL68" s="441"/>
      <c r="AM68" s="607"/>
      <c r="AN68" s="608"/>
      <c r="AO68" s="608"/>
      <c r="AP68" s="440"/>
      <c r="AQ68" s="609"/>
    </row>
    <row r="69" spans="1:43" x14ac:dyDescent="0.2">
      <c r="A69" s="602"/>
      <c r="B69" s="603" t="s">
        <v>475</v>
      </c>
      <c r="C69" s="593"/>
      <c r="D69" s="594"/>
      <c r="E69" s="594"/>
      <c r="F69" s="594"/>
      <c r="G69" s="594"/>
      <c r="H69" s="594"/>
      <c r="I69" s="594"/>
      <c r="J69" s="594"/>
      <c r="K69" s="594"/>
      <c r="L69" s="594"/>
      <c r="M69" s="594"/>
      <c r="N69" s="595"/>
      <c r="O69" s="594"/>
      <c r="P69" s="594"/>
      <c r="Q69" s="594"/>
      <c r="R69" s="594"/>
      <c r="S69" s="594"/>
      <c r="T69" s="594"/>
      <c r="U69" s="594"/>
      <c r="V69" s="594"/>
      <c r="W69" s="594"/>
      <c r="X69" s="594"/>
      <c r="Y69" s="595"/>
      <c r="Z69" s="604"/>
      <c r="AA69" s="605"/>
      <c r="AB69" s="605"/>
      <c r="AC69" s="606"/>
      <c r="AD69" s="607"/>
      <c r="AE69" s="608"/>
      <c r="AF69" s="608"/>
      <c r="AG69" s="440"/>
      <c r="AH69" s="440"/>
      <c r="AI69" s="440"/>
      <c r="AJ69" s="584"/>
      <c r="AK69" s="609"/>
      <c r="AL69" s="441"/>
      <c r="AM69" s="607"/>
      <c r="AN69" s="608"/>
      <c r="AO69" s="608"/>
      <c r="AP69" s="440"/>
      <c r="AQ69" s="609"/>
    </row>
    <row r="70" spans="1:43" x14ac:dyDescent="0.2">
      <c r="A70" s="602"/>
      <c r="B70" s="603" t="s">
        <v>471</v>
      </c>
      <c r="C70" s="593"/>
      <c r="D70" s="594"/>
      <c r="E70" s="594"/>
      <c r="F70" s="594"/>
      <c r="G70" s="594"/>
      <c r="H70" s="594"/>
      <c r="I70" s="594"/>
      <c r="J70" s="594"/>
      <c r="K70" s="594"/>
      <c r="L70" s="594"/>
      <c r="M70" s="594"/>
      <c r="N70" s="595"/>
      <c r="O70" s="594"/>
      <c r="P70" s="594"/>
      <c r="Q70" s="594"/>
      <c r="R70" s="594"/>
      <c r="S70" s="594"/>
      <c r="T70" s="594"/>
      <c r="U70" s="594"/>
      <c r="V70" s="594"/>
      <c r="W70" s="594"/>
      <c r="X70" s="594"/>
      <c r="Y70" s="595"/>
      <c r="Z70" s="604"/>
      <c r="AA70" s="605"/>
      <c r="AB70" s="605"/>
      <c r="AC70" s="606"/>
      <c r="AD70" s="607"/>
      <c r="AE70" s="608"/>
      <c r="AF70" s="608"/>
      <c r="AG70" s="440"/>
      <c r="AH70" s="440"/>
      <c r="AI70" s="440"/>
      <c r="AJ70" s="584"/>
      <c r="AK70" s="609"/>
      <c r="AL70" s="441"/>
      <c r="AM70" s="607"/>
      <c r="AN70" s="608"/>
      <c r="AO70" s="608"/>
      <c r="AP70" s="440"/>
      <c r="AQ70" s="609"/>
    </row>
    <row r="71" spans="1:43" ht="39.6" customHeight="1" x14ac:dyDescent="0.2">
      <c r="A71" s="602"/>
      <c r="B71" s="603" t="s">
        <v>472</v>
      </c>
      <c r="C71" s="593"/>
      <c r="D71" s="594"/>
      <c r="E71" s="594"/>
      <c r="F71" s="594"/>
      <c r="G71" s="594"/>
      <c r="H71" s="594"/>
      <c r="I71" s="594"/>
      <c r="J71" s="594"/>
      <c r="K71" s="594"/>
      <c r="L71" s="594"/>
      <c r="M71" s="594"/>
      <c r="N71" s="595"/>
      <c r="O71" s="594"/>
      <c r="P71" s="594"/>
      <c r="Q71" s="594"/>
      <c r="R71" s="594"/>
      <c r="S71" s="594"/>
      <c r="T71" s="594"/>
      <c r="U71" s="594"/>
      <c r="V71" s="594"/>
      <c r="W71" s="594"/>
      <c r="X71" s="594"/>
      <c r="Y71" s="595"/>
      <c r="Z71" s="604"/>
      <c r="AA71" s="605"/>
      <c r="AB71" s="605"/>
      <c r="AC71" s="606"/>
      <c r="AD71" s="607"/>
      <c r="AE71" s="608"/>
      <c r="AF71" s="608"/>
      <c r="AG71" s="440"/>
      <c r="AH71" s="440"/>
      <c r="AI71" s="440"/>
      <c r="AJ71" s="584"/>
      <c r="AK71" s="609"/>
      <c r="AL71" s="441"/>
      <c r="AM71" s="607"/>
      <c r="AN71" s="608"/>
      <c r="AO71" s="608"/>
      <c r="AP71" s="440"/>
      <c r="AQ71" s="609"/>
    </row>
    <row r="72" spans="1:43" ht="36" x14ac:dyDescent="0.2">
      <c r="A72" s="610"/>
      <c r="B72" s="611" t="s">
        <v>413</v>
      </c>
      <c r="C72" s="249"/>
      <c r="D72" s="250"/>
      <c r="E72" s="250"/>
      <c r="F72" s="250"/>
      <c r="G72" s="250"/>
      <c r="H72" s="250"/>
      <c r="I72" s="250"/>
      <c r="J72" s="250"/>
      <c r="K72" s="250"/>
      <c r="L72" s="250"/>
      <c r="M72" s="250"/>
      <c r="N72" s="251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1"/>
      <c r="Z72" s="587"/>
      <c r="AA72" s="588"/>
      <c r="AB72" s="588"/>
      <c r="AC72" s="589"/>
      <c r="AD72" s="612"/>
      <c r="AE72" s="613"/>
      <c r="AF72" s="613"/>
      <c r="AG72" s="440"/>
      <c r="AH72" s="440"/>
      <c r="AI72" s="440"/>
      <c r="AJ72" s="584"/>
      <c r="AK72" s="590"/>
      <c r="AL72" s="441"/>
      <c r="AM72" s="612"/>
      <c r="AN72" s="613"/>
      <c r="AO72" s="613"/>
      <c r="AP72" s="440"/>
      <c r="AQ72" s="590"/>
    </row>
    <row r="73" spans="1:43" ht="15" customHeight="1" x14ac:dyDescent="0.2">
      <c r="A73" s="591" t="s">
        <v>673</v>
      </c>
      <c r="B73" s="592" t="s">
        <v>390</v>
      </c>
      <c r="C73" s="615"/>
      <c r="D73" s="616"/>
      <c r="E73" s="616"/>
      <c r="F73" s="616"/>
      <c r="G73" s="872"/>
      <c r="H73" s="872"/>
      <c r="I73" s="872"/>
      <c r="J73" s="872"/>
      <c r="K73" s="872"/>
      <c r="L73" s="872"/>
      <c r="M73" s="872"/>
      <c r="N73" s="873"/>
      <c r="O73" s="872"/>
      <c r="P73" s="872"/>
      <c r="Q73" s="872"/>
      <c r="R73" s="872"/>
      <c r="S73" s="872"/>
      <c r="T73" s="616"/>
      <c r="U73" s="616"/>
      <c r="V73" s="616"/>
      <c r="W73" s="616"/>
      <c r="X73" s="616"/>
      <c r="Y73" s="617"/>
      <c r="Z73" s="618"/>
      <c r="AA73" s="619"/>
      <c r="AB73" s="619"/>
      <c r="AC73" s="620"/>
      <c r="AD73" s="599">
        <v>540</v>
      </c>
      <c r="AE73" s="600">
        <v>750</v>
      </c>
      <c r="AF73" s="600">
        <v>920</v>
      </c>
      <c r="AG73" s="440">
        <f>AD73*AF73</f>
        <v>496800</v>
      </c>
      <c r="AH73" s="440">
        <f>AE73*AF73</f>
        <v>690000</v>
      </c>
      <c r="AI73" s="440">
        <f t="shared" ref="AI73" si="2">AH73-AG73</f>
        <v>193200</v>
      </c>
      <c r="AJ73" s="584">
        <v>77142</v>
      </c>
      <c r="AK73" s="621"/>
      <c r="AL73" s="599"/>
      <c r="AM73" s="599"/>
      <c r="AN73" s="600"/>
      <c r="AO73" s="600"/>
      <c r="AP73" s="440">
        <f t="shared" si="1"/>
        <v>0</v>
      </c>
      <c r="AQ73" s="621"/>
    </row>
    <row r="74" spans="1:43" ht="72" x14ac:dyDescent="0.2">
      <c r="A74" s="602"/>
      <c r="B74" s="603" t="s">
        <v>473</v>
      </c>
      <c r="C74" s="593"/>
      <c r="D74" s="594"/>
      <c r="E74" s="594"/>
      <c r="F74" s="594"/>
      <c r="G74" s="594"/>
      <c r="H74" s="594"/>
      <c r="I74" s="594"/>
      <c r="J74" s="594"/>
      <c r="K74" s="594"/>
      <c r="L74" s="594"/>
      <c r="M74" s="594"/>
      <c r="N74" s="595"/>
      <c r="O74" s="594"/>
      <c r="P74" s="594"/>
      <c r="Q74" s="594"/>
      <c r="R74" s="594"/>
      <c r="S74" s="594"/>
      <c r="T74" s="594"/>
      <c r="U74" s="594"/>
      <c r="V74" s="594"/>
      <c r="W74" s="594"/>
      <c r="X74" s="594"/>
      <c r="Y74" s="595"/>
      <c r="Z74" s="604"/>
      <c r="AA74" s="605"/>
      <c r="AB74" s="605"/>
      <c r="AC74" s="606"/>
      <c r="AD74" s="607"/>
      <c r="AE74" s="608"/>
      <c r="AF74" s="608"/>
      <c r="AG74" s="440"/>
      <c r="AH74" s="440"/>
      <c r="AI74" s="440"/>
      <c r="AJ74" s="584"/>
      <c r="AK74" s="609"/>
      <c r="AL74" s="607"/>
      <c r="AM74" s="607"/>
      <c r="AN74" s="608"/>
      <c r="AO74" s="608"/>
      <c r="AP74" s="440"/>
      <c r="AQ74" s="609"/>
    </row>
    <row r="75" spans="1:43" ht="72" x14ac:dyDescent="0.2">
      <c r="A75" s="610"/>
      <c r="B75" s="611" t="s">
        <v>391</v>
      </c>
      <c r="C75" s="249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1"/>
      <c r="O75" s="250"/>
      <c r="P75" s="250"/>
      <c r="Q75" s="250"/>
      <c r="R75" s="250"/>
      <c r="S75" s="250"/>
      <c r="T75" s="250"/>
      <c r="U75" s="250"/>
      <c r="V75" s="250"/>
      <c r="W75" s="250"/>
      <c r="X75" s="250"/>
      <c r="Y75" s="251"/>
      <c r="Z75" s="587"/>
      <c r="AA75" s="588"/>
      <c r="AB75" s="588"/>
      <c r="AC75" s="589"/>
      <c r="AD75" s="612"/>
      <c r="AE75" s="613"/>
      <c r="AF75" s="613"/>
      <c r="AG75" s="440"/>
      <c r="AH75" s="440"/>
      <c r="AI75" s="440"/>
      <c r="AJ75" s="584"/>
      <c r="AK75" s="590"/>
      <c r="AL75" s="612"/>
      <c r="AM75" s="612"/>
      <c r="AN75" s="613"/>
      <c r="AO75" s="613"/>
      <c r="AP75" s="440"/>
      <c r="AQ75" s="590"/>
    </row>
    <row r="76" spans="1:43" ht="15" customHeight="1" x14ac:dyDescent="0.2">
      <c r="A76" s="591" t="s">
        <v>674</v>
      </c>
      <c r="B76" s="592" t="s">
        <v>405</v>
      </c>
      <c r="C76" s="615"/>
      <c r="D76" s="616"/>
      <c r="E76" s="616"/>
      <c r="F76" s="616"/>
      <c r="G76" s="616"/>
      <c r="H76" s="616"/>
      <c r="I76" s="616"/>
      <c r="J76" s="872"/>
      <c r="K76" s="872"/>
      <c r="L76" s="872"/>
      <c r="M76" s="872"/>
      <c r="N76" s="873"/>
      <c r="O76" s="872"/>
      <c r="P76" s="872"/>
      <c r="Q76" s="872"/>
      <c r="R76" s="872"/>
      <c r="S76" s="872"/>
      <c r="T76" s="872"/>
      <c r="U76" s="872"/>
      <c r="V76" s="872"/>
      <c r="W76" s="872"/>
      <c r="X76" s="872"/>
      <c r="Y76" s="873"/>
      <c r="Z76" s="618"/>
      <c r="AA76" s="619"/>
      <c r="AB76" s="619"/>
      <c r="AC76" s="620"/>
      <c r="AD76" s="599">
        <v>475</v>
      </c>
      <c r="AE76" s="600">
        <v>680</v>
      </c>
      <c r="AF76" s="600">
        <v>920</v>
      </c>
      <c r="AG76" s="440">
        <f>AD76*AF76</f>
        <v>437000</v>
      </c>
      <c r="AH76" s="440">
        <f>AE76*AF76</f>
        <v>625600</v>
      </c>
      <c r="AI76" s="440">
        <f t="shared" ref="AI76" si="3">AH76-AG76</f>
        <v>188600</v>
      </c>
      <c r="AJ76" s="584">
        <v>69069</v>
      </c>
      <c r="AK76" s="621"/>
      <c r="AL76" s="599"/>
      <c r="AM76" s="599"/>
      <c r="AN76" s="600"/>
      <c r="AO76" s="600"/>
      <c r="AP76" s="440">
        <f t="shared" si="1"/>
        <v>0</v>
      </c>
      <c r="AQ76" s="621"/>
    </row>
    <row r="77" spans="1:43" ht="48" x14ac:dyDescent="0.2">
      <c r="A77" s="602"/>
      <c r="B77" s="603" t="s">
        <v>406</v>
      </c>
      <c r="C77" s="593"/>
      <c r="D77" s="594"/>
      <c r="E77" s="594"/>
      <c r="F77" s="594"/>
      <c r="G77" s="594"/>
      <c r="H77" s="594"/>
      <c r="I77" s="594"/>
      <c r="J77" s="594"/>
      <c r="K77" s="594"/>
      <c r="L77" s="594"/>
      <c r="M77" s="594"/>
      <c r="N77" s="595"/>
      <c r="O77" s="594"/>
      <c r="P77" s="594"/>
      <c r="Q77" s="594"/>
      <c r="R77" s="594"/>
      <c r="S77" s="594"/>
      <c r="T77" s="594"/>
      <c r="U77" s="594"/>
      <c r="V77" s="594"/>
      <c r="W77" s="594"/>
      <c r="X77" s="594"/>
      <c r="Y77" s="595"/>
      <c r="Z77" s="604"/>
      <c r="AA77" s="605"/>
      <c r="AB77" s="605"/>
      <c r="AC77" s="606"/>
      <c r="AD77" s="607"/>
      <c r="AE77" s="608"/>
      <c r="AF77" s="608"/>
      <c r="AG77" s="440"/>
      <c r="AH77" s="440"/>
      <c r="AI77" s="440"/>
      <c r="AJ77" s="584"/>
      <c r="AK77" s="609"/>
      <c r="AL77" s="607"/>
      <c r="AM77" s="607"/>
      <c r="AN77" s="608"/>
      <c r="AO77" s="608"/>
      <c r="AP77" s="440"/>
      <c r="AQ77" s="609"/>
    </row>
    <row r="78" spans="1:43" x14ac:dyDescent="0.2">
      <c r="A78" s="602"/>
      <c r="B78" s="603" t="s">
        <v>454</v>
      </c>
      <c r="C78" s="593"/>
      <c r="D78" s="594"/>
      <c r="E78" s="594"/>
      <c r="F78" s="594"/>
      <c r="G78" s="594"/>
      <c r="H78" s="594"/>
      <c r="I78" s="594"/>
      <c r="J78" s="594"/>
      <c r="K78" s="594"/>
      <c r="L78" s="594"/>
      <c r="M78" s="594"/>
      <c r="N78" s="595"/>
      <c r="O78" s="594"/>
      <c r="P78" s="594"/>
      <c r="Q78" s="594"/>
      <c r="R78" s="594"/>
      <c r="S78" s="594"/>
      <c r="T78" s="594"/>
      <c r="U78" s="594"/>
      <c r="V78" s="594"/>
      <c r="W78" s="594"/>
      <c r="X78" s="594"/>
      <c r="Y78" s="595"/>
      <c r="Z78" s="604"/>
      <c r="AA78" s="605"/>
      <c r="AB78" s="605"/>
      <c r="AC78" s="606"/>
      <c r="AD78" s="607"/>
      <c r="AE78" s="608"/>
      <c r="AF78" s="608"/>
      <c r="AG78" s="440"/>
      <c r="AH78" s="440"/>
      <c r="AI78" s="440"/>
      <c r="AJ78" s="584"/>
      <c r="AK78" s="609"/>
      <c r="AL78" s="607"/>
      <c r="AM78" s="607"/>
      <c r="AN78" s="608"/>
      <c r="AO78" s="608"/>
      <c r="AP78" s="440"/>
      <c r="AQ78" s="609"/>
    </row>
    <row r="79" spans="1:43" x14ac:dyDescent="0.2">
      <c r="A79" s="602"/>
      <c r="B79" s="603" t="s">
        <v>455</v>
      </c>
      <c r="C79" s="593"/>
      <c r="D79" s="594"/>
      <c r="E79" s="594"/>
      <c r="F79" s="594"/>
      <c r="G79" s="594"/>
      <c r="H79" s="594"/>
      <c r="I79" s="594"/>
      <c r="J79" s="594"/>
      <c r="K79" s="594"/>
      <c r="L79" s="594"/>
      <c r="M79" s="594"/>
      <c r="N79" s="595"/>
      <c r="O79" s="594"/>
      <c r="P79" s="594"/>
      <c r="Q79" s="594"/>
      <c r="R79" s="594"/>
      <c r="S79" s="594"/>
      <c r="T79" s="594"/>
      <c r="U79" s="594"/>
      <c r="V79" s="594"/>
      <c r="W79" s="594"/>
      <c r="X79" s="594"/>
      <c r="Y79" s="595"/>
      <c r="Z79" s="604"/>
      <c r="AA79" s="605"/>
      <c r="AB79" s="605"/>
      <c r="AC79" s="606"/>
      <c r="AD79" s="607"/>
      <c r="AE79" s="608"/>
      <c r="AF79" s="608"/>
      <c r="AG79" s="440"/>
      <c r="AH79" s="440"/>
      <c r="AI79" s="440"/>
      <c r="AJ79" s="584"/>
      <c r="AK79" s="609"/>
      <c r="AL79" s="607"/>
      <c r="AM79" s="607"/>
      <c r="AN79" s="608"/>
      <c r="AO79" s="608"/>
      <c r="AP79" s="440"/>
      <c r="AQ79" s="609"/>
    </row>
    <row r="80" spans="1:43" x14ac:dyDescent="0.2">
      <c r="A80" s="602"/>
      <c r="B80" s="603" t="s">
        <v>456</v>
      </c>
      <c r="C80" s="593"/>
      <c r="D80" s="594"/>
      <c r="E80" s="594"/>
      <c r="F80" s="594"/>
      <c r="G80" s="594"/>
      <c r="H80" s="594"/>
      <c r="I80" s="594"/>
      <c r="J80" s="594"/>
      <c r="K80" s="594"/>
      <c r="L80" s="594"/>
      <c r="M80" s="594"/>
      <c r="N80" s="595"/>
      <c r="O80" s="594"/>
      <c r="P80" s="594"/>
      <c r="Q80" s="594"/>
      <c r="R80" s="594"/>
      <c r="S80" s="594"/>
      <c r="T80" s="594"/>
      <c r="U80" s="594"/>
      <c r="V80" s="594"/>
      <c r="W80" s="594"/>
      <c r="X80" s="594"/>
      <c r="Y80" s="595"/>
      <c r="Z80" s="604"/>
      <c r="AA80" s="605"/>
      <c r="AB80" s="605"/>
      <c r="AC80" s="606"/>
      <c r="AD80" s="607"/>
      <c r="AE80" s="608"/>
      <c r="AF80" s="608"/>
      <c r="AG80" s="440"/>
      <c r="AH80" s="440"/>
      <c r="AI80" s="440"/>
      <c r="AJ80" s="584"/>
      <c r="AK80" s="609"/>
      <c r="AL80" s="607"/>
      <c r="AM80" s="607"/>
      <c r="AN80" s="608"/>
      <c r="AO80" s="608"/>
      <c r="AP80" s="440"/>
      <c r="AQ80" s="609"/>
    </row>
    <row r="81" spans="1:43" x14ac:dyDescent="0.2">
      <c r="A81" s="602"/>
      <c r="B81" s="603" t="s">
        <v>457</v>
      </c>
      <c r="C81" s="593"/>
      <c r="D81" s="594"/>
      <c r="E81" s="594"/>
      <c r="F81" s="594"/>
      <c r="G81" s="594"/>
      <c r="H81" s="594"/>
      <c r="I81" s="594"/>
      <c r="J81" s="594"/>
      <c r="K81" s="594"/>
      <c r="L81" s="594"/>
      <c r="M81" s="594"/>
      <c r="N81" s="595"/>
      <c r="O81" s="594"/>
      <c r="P81" s="594"/>
      <c r="Q81" s="594"/>
      <c r="R81" s="594"/>
      <c r="S81" s="594"/>
      <c r="T81" s="594"/>
      <c r="U81" s="594"/>
      <c r="V81" s="594"/>
      <c r="W81" s="594"/>
      <c r="X81" s="594"/>
      <c r="Y81" s="595"/>
      <c r="Z81" s="604"/>
      <c r="AA81" s="605"/>
      <c r="AB81" s="605"/>
      <c r="AC81" s="606"/>
      <c r="AD81" s="607"/>
      <c r="AE81" s="608"/>
      <c r="AF81" s="608"/>
      <c r="AG81" s="440"/>
      <c r="AH81" s="440"/>
      <c r="AI81" s="440"/>
      <c r="AJ81" s="584"/>
      <c r="AK81" s="609"/>
      <c r="AL81" s="607"/>
      <c r="AM81" s="607"/>
      <c r="AN81" s="608"/>
      <c r="AO81" s="608"/>
      <c r="AP81" s="440"/>
      <c r="AQ81" s="609"/>
    </row>
    <row r="82" spans="1:43" x14ac:dyDescent="0.2">
      <c r="A82" s="602"/>
      <c r="B82" s="603" t="s">
        <v>458</v>
      </c>
      <c r="C82" s="593"/>
      <c r="D82" s="594"/>
      <c r="E82" s="594"/>
      <c r="F82" s="594"/>
      <c r="G82" s="594"/>
      <c r="H82" s="594"/>
      <c r="I82" s="594"/>
      <c r="J82" s="594"/>
      <c r="K82" s="594"/>
      <c r="L82" s="594"/>
      <c r="M82" s="594"/>
      <c r="N82" s="595"/>
      <c r="O82" s="594"/>
      <c r="P82" s="594"/>
      <c r="Q82" s="594"/>
      <c r="R82" s="594"/>
      <c r="S82" s="594"/>
      <c r="T82" s="594"/>
      <c r="U82" s="594"/>
      <c r="V82" s="594"/>
      <c r="W82" s="594"/>
      <c r="X82" s="594"/>
      <c r="Y82" s="595"/>
      <c r="Z82" s="604"/>
      <c r="AA82" s="605"/>
      <c r="AB82" s="605"/>
      <c r="AC82" s="606"/>
      <c r="AD82" s="607"/>
      <c r="AE82" s="608"/>
      <c r="AF82" s="608"/>
      <c r="AG82" s="440"/>
      <c r="AH82" s="440"/>
      <c r="AI82" s="440"/>
      <c r="AJ82" s="584"/>
      <c r="AK82" s="609"/>
      <c r="AL82" s="607"/>
      <c r="AM82" s="607"/>
      <c r="AN82" s="608"/>
      <c r="AO82" s="608"/>
      <c r="AP82" s="440"/>
      <c r="AQ82" s="609"/>
    </row>
    <row r="83" spans="1:43" x14ac:dyDescent="0.2">
      <c r="A83" s="602"/>
      <c r="B83" s="603" t="s">
        <v>459</v>
      </c>
      <c r="C83" s="593"/>
      <c r="D83" s="594"/>
      <c r="E83" s="594"/>
      <c r="F83" s="594"/>
      <c r="G83" s="594"/>
      <c r="H83" s="594"/>
      <c r="I83" s="594"/>
      <c r="J83" s="594"/>
      <c r="K83" s="594"/>
      <c r="L83" s="594"/>
      <c r="M83" s="594"/>
      <c r="N83" s="595"/>
      <c r="O83" s="594"/>
      <c r="P83" s="594"/>
      <c r="Q83" s="594"/>
      <c r="R83" s="594"/>
      <c r="S83" s="594"/>
      <c r="T83" s="594"/>
      <c r="U83" s="594"/>
      <c r="V83" s="594"/>
      <c r="W83" s="594"/>
      <c r="X83" s="594"/>
      <c r="Y83" s="595"/>
      <c r="Z83" s="604"/>
      <c r="AA83" s="605"/>
      <c r="AB83" s="605"/>
      <c r="AC83" s="606"/>
      <c r="AD83" s="607"/>
      <c r="AE83" s="608"/>
      <c r="AF83" s="608"/>
      <c r="AG83" s="440"/>
      <c r="AH83" s="440"/>
      <c r="AI83" s="440"/>
      <c r="AJ83" s="584"/>
      <c r="AK83" s="609"/>
      <c r="AL83" s="607"/>
      <c r="AM83" s="607"/>
      <c r="AN83" s="608"/>
      <c r="AO83" s="608"/>
      <c r="AP83" s="440"/>
      <c r="AQ83" s="609"/>
    </row>
    <row r="84" spans="1:43" x14ac:dyDescent="0.2">
      <c r="A84" s="602"/>
      <c r="B84" s="603" t="s">
        <v>460</v>
      </c>
      <c r="C84" s="593"/>
      <c r="D84" s="594"/>
      <c r="E84" s="594"/>
      <c r="F84" s="594"/>
      <c r="G84" s="594"/>
      <c r="H84" s="594"/>
      <c r="I84" s="594"/>
      <c r="J84" s="594"/>
      <c r="K84" s="594"/>
      <c r="L84" s="594"/>
      <c r="M84" s="594"/>
      <c r="N84" s="595"/>
      <c r="O84" s="594"/>
      <c r="P84" s="594"/>
      <c r="Q84" s="594"/>
      <c r="R84" s="594"/>
      <c r="S84" s="594"/>
      <c r="T84" s="594"/>
      <c r="U84" s="594"/>
      <c r="V84" s="594"/>
      <c r="W84" s="594"/>
      <c r="X84" s="594"/>
      <c r="Y84" s="595"/>
      <c r="Z84" s="604"/>
      <c r="AA84" s="605"/>
      <c r="AB84" s="605"/>
      <c r="AC84" s="606"/>
      <c r="AD84" s="607"/>
      <c r="AE84" s="608"/>
      <c r="AF84" s="608"/>
      <c r="AG84" s="440"/>
      <c r="AH84" s="440"/>
      <c r="AI84" s="440"/>
      <c r="AJ84" s="584"/>
      <c r="AK84" s="609"/>
      <c r="AL84" s="607"/>
      <c r="AM84" s="607"/>
      <c r="AN84" s="608"/>
      <c r="AO84" s="608"/>
      <c r="AP84" s="440"/>
      <c r="AQ84" s="609"/>
    </row>
    <row r="85" spans="1:43" x14ac:dyDescent="0.2">
      <c r="A85" s="602"/>
      <c r="B85" s="603" t="s">
        <v>461</v>
      </c>
      <c r="C85" s="593"/>
      <c r="D85" s="594"/>
      <c r="E85" s="594"/>
      <c r="F85" s="594"/>
      <c r="G85" s="594"/>
      <c r="H85" s="594"/>
      <c r="I85" s="594"/>
      <c r="J85" s="594"/>
      <c r="K85" s="594"/>
      <c r="L85" s="594"/>
      <c r="M85" s="594"/>
      <c r="N85" s="595"/>
      <c r="O85" s="594"/>
      <c r="P85" s="594"/>
      <c r="Q85" s="594"/>
      <c r="R85" s="594"/>
      <c r="S85" s="594"/>
      <c r="T85" s="594"/>
      <c r="U85" s="594"/>
      <c r="V85" s="594"/>
      <c r="W85" s="594"/>
      <c r="X85" s="594"/>
      <c r="Y85" s="595"/>
      <c r="Z85" s="604"/>
      <c r="AA85" s="605"/>
      <c r="AB85" s="605"/>
      <c r="AC85" s="606"/>
      <c r="AD85" s="607"/>
      <c r="AE85" s="608"/>
      <c r="AF85" s="608"/>
      <c r="AG85" s="440"/>
      <c r="AH85" s="440"/>
      <c r="AI85" s="440"/>
      <c r="AJ85" s="584"/>
      <c r="AK85" s="609"/>
      <c r="AL85" s="607"/>
      <c r="AM85" s="607"/>
      <c r="AN85" s="608"/>
      <c r="AO85" s="608"/>
      <c r="AP85" s="440"/>
      <c r="AQ85" s="609"/>
    </row>
    <row r="86" spans="1:43" x14ac:dyDescent="0.2">
      <c r="A86" s="610"/>
      <c r="B86" s="611" t="s">
        <v>462</v>
      </c>
      <c r="C86" s="249"/>
      <c r="D86" s="250"/>
      <c r="E86" s="250"/>
      <c r="F86" s="250"/>
      <c r="G86" s="250"/>
      <c r="H86" s="250"/>
      <c r="I86" s="250"/>
      <c r="J86" s="250"/>
      <c r="K86" s="250"/>
      <c r="L86" s="250"/>
      <c r="M86" s="250"/>
      <c r="N86" s="251"/>
      <c r="O86" s="250"/>
      <c r="P86" s="250"/>
      <c r="Q86" s="250"/>
      <c r="R86" s="250"/>
      <c r="S86" s="250"/>
      <c r="T86" s="250"/>
      <c r="U86" s="250"/>
      <c r="V86" s="250"/>
      <c r="W86" s="250"/>
      <c r="X86" s="250"/>
      <c r="Y86" s="251"/>
      <c r="Z86" s="587"/>
      <c r="AA86" s="588"/>
      <c r="AB86" s="588"/>
      <c r="AC86" s="589"/>
      <c r="AD86" s="612"/>
      <c r="AE86" s="613"/>
      <c r="AF86" s="613"/>
      <c r="AG86" s="440"/>
      <c r="AH86" s="440"/>
      <c r="AI86" s="440"/>
      <c r="AJ86" s="584"/>
      <c r="AK86" s="590"/>
      <c r="AL86" s="612"/>
      <c r="AM86" s="612"/>
      <c r="AN86" s="613"/>
      <c r="AO86" s="613"/>
      <c r="AP86" s="440"/>
      <c r="AQ86" s="590"/>
    </row>
    <row r="87" spans="1:43" ht="156" x14ac:dyDescent="0.2">
      <c r="A87" s="211" t="s">
        <v>675</v>
      </c>
      <c r="B87" s="586" t="s">
        <v>425</v>
      </c>
      <c r="C87" s="252"/>
      <c r="D87" s="253"/>
      <c r="E87" s="253"/>
      <c r="F87" s="253"/>
      <c r="G87" s="253"/>
      <c r="H87" s="253"/>
      <c r="I87" s="253"/>
      <c r="J87" s="874"/>
      <c r="K87" s="874"/>
      <c r="L87" s="874"/>
      <c r="M87" s="874"/>
      <c r="N87" s="875"/>
      <c r="O87" s="874"/>
      <c r="P87" s="874"/>
      <c r="Q87" s="874"/>
      <c r="R87" s="874"/>
      <c r="S87" s="874"/>
      <c r="T87" s="874"/>
      <c r="U87" s="874"/>
      <c r="V87" s="874"/>
      <c r="W87" s="874"/>
      <c r="X87" s="874"/>
      <c r="Y87" s="875"/>
      <c r="Z87" s="478"/>
      <c r="AA87" s="479"/>
      <c r="AB87" s="479"/>
      <c r="AC87" s="480"/>
      <c r="AD87" s="442">
        <v>55</v>
      </c>
      <c r="AE87" s="224">
        <v>80</v>
      </c>
      <c r="AF87" s="224">
        <v>920</v>
      </c>
      <c r="AG87" s="440">
        <f>AD87*AF87</f>
        <v>50600</v>
      </c>
      <c r="AH87" s="440">
        <f>AE87*AF87</f>
        <v>73600</v>
      </c>
      <c r="AI87" s="440">
        <f t="shared" ref="AI87:AI88" si="4">AH87-AG87</f>
        <v>23000</v>
      </c>
      <c r="AJ87" s="584">
        <v>8073</v>
      </c>
      <c r="AK87" s="444"/>
      <c r="AL87" s="442"/>
      <c r="AM87" s="442"/>
      <c r="AN87" s="224"/>
      <c r="AO87" s="224"/>
      <c r="AP87" s="440">
        <f t="shared" si="1"/>
        <v>0</v>
      </c>
      <c r="AQ87" s="444"/>
    </row>
    <row r="88" spans="1:43" ht="36" x14ac:dyDescent="0.2">
      <c r="A88" s="591" t="s">
        <v>676</v>
      </c>
      <c r="B88" s="592" t="s">
        <v>426</v>
      </c>
      <c r="C88" s="615"/>
      <c r="D88" s="616"/>
      <c r="E88" s="616"/>
      <c r="F88" s="616"/>
      <c r="G88" s="616"/>
      <c r="H88" s="616"/>
      <c r="I88" s="616"/>
      <c r="J88" s="616"/>
      <c r="K88" s="616"/>
      <c r="L88" s="616"/>
      <c r="M88" s="616"/>
      <c r="N88" s="617"/>
      <c r="O88" s="616"/>
      <c r="P88" s="616"/>
      <c r="Q88" s="616"/>
      <c r="R88" s="872"/>
      <c r="S88" s="872"/>
      <c r="T88" s="872"/>
      <c r="U88" s="872"/>
      <c r="V88" s="616"/>
      <c r="W88" s="616"/>
      <c r="X88" s="616"/>
      <c r="Y88" s="617"/>
      <c r="Z88" s="618"/>
      <c r="AA88" s="619"/>
      <c r="AB88" s="619"/>
      <c r="AC88" s="620"/>
      <c r="AD88" s="599">
        <v>320</v>
      </c>
      <c r="AE88" s="600">
        <v>415</v>
      </c>
      <c r="AF88" s="600">
        <v>920</v>
      </c>
      <c r="AG88" s="440">
        <f>AD88*AF88</f>
        <v>294400</v>
      </c>
      <c r="AH88" s="440">
        <f>AE88*AF88</f>
        <v>381800</v>
      </c>
      <c r="AI88" s="440">
        <f t="shared" si="4"/>
        <v>87400</v>
      </c>
      <c r="AJ88" s="584">
        <v>43953</v>
      </c>
      <c r="AK88" s="621"/>
      <c r="AL88" s="599"/>
      <c r="AM88" s="599"/>
      <c r="AN88" s="600"/>
      <c r="AO88" s="600"/>
      <c r="AP88" s="440">
        <f t="shared" si="1"/>
        <v>0</v>
      </c>
      <c r="AQ88" s="621"/>
    </row>
    <row r="89" spans="1:43" ht="24" x14ac:dyDescent="0.2">
      <c r="A89" s="602"/>
      <c r="B89" s="603" t="s">
        <v>452</v>
      </c>
      <c r="C89" s="593"/>
      <c r="D89" s="594"/>
      <c r="E89" s="594"/>
      <c r="F89" s="594"/>
      <c r="G89" s="594"/>
      <c r="H89" s="594"/>
      <c r="I89" s="594"/>
      <c r="J89" s="594"/>
      <c r="K89" s="594"/>
      <c r="L89" s="594"/>
      <c r="M89" s="594"/>
      <c r="N89" s="595"/>
      <c r="O89" s="594"/>
      <c r="P89" s="594"/>
      <c r="Q89" s="594"/>
      <c r="R89" s="594"/>
      <c r="S89" s="594"/>
      <c r="T89" s="594"/>
      <c r="U89" s="594"/>
      <c r="V89" s="594"/>
      <c r="W89" s="594"/>
      <c r="X89" s="594"/>
      <c r="Y89" s="595"/>
      <c r="Z89" s="604"/>
      <c r="AA89" s="605"/>
      <c r="AB89" s="605"/>
      <c r="AC89" s="606"/>
      <c r="AD89" s="607"/>
      <c r="AE89" s="608"/>
      <c r="AF89" s="608"/>
      <c r="AG89" s="440"/>
      <c r="AH89" s="440"/>
      <c r="AI89" s="440"/>
      <c r="AJ89" s="584"/>
      <c r="AK89" s="609"/>
      <c r="AL89" s="607"/>
      <c r="AM89" s="607"/>
      <c r="AN89" s="608"/>
      <c r="AO89" s="608"/>
      <c r="AP89" s="440"/>
      <c r="AQ89" s="609"/>
    </row>
    <row r="90" spans="1:43" ht="24" x14ac:dyDescent="0.2">
      <c r="A90" s="602"/>
      <c r="B90" s="603" t="s">
        <v>427</v>
      </c>
      <c r="C90" s="593"/>
      <c r="D90" s="594"/>
      <c r="E90" s="594"/>
      <c r="F90" s="594"/>
      <c r="G90" s="594"/>
      <c r="H90" s="594"/>
      <c r="I90" s="594"/>
      <c r="J90" s="594"/>
      <c r="K90" s="594"/>
      <c r="L90" s="594"/>
      <c r="M90" s="594"/>
      <c r="N90" s="595"/>
      <c r="O90" s="594"/>
      <c r="P90" s="594"/>
      <c r="Q90" s="594"/>
      <c r="R90" s="594"/>
      <c r="S90" s="594"/>
      <c r="T90" s="594"/>
      <c r="U90" s="594"/>
      <c r="V90" s="594"/>
      <c r="W90" s="594"/>
      <c r="X90" s="594"/>
      <c r="Y90" s="595"/>
      <c r="Z90" s="604"/>
      <c r="AA90" s="605"/>
      <c r="AB90" s="605"/>
      <c r="AC90" s="606"/>
      <c r="AD90" s="607"/>
      <c r="AE90" s="608"/>
      <c r="AF90" s="608"/>
      <c r="AG90" s="440"/>
      <c r="AH90" s="440"/>
      <c r="AI90" s="440"/>
      <c r="AJ90" s="584"/>
      <c r="AK90" s="609"/>
      <c r="AL90" s="607"/>
      <c r="AM90" s="607"/>
      <c r="AN90" s="608"/>
      <c r="AO90" s="608"/>
      <c r="AP90" s="440"/>
      <c r="AQ90" s="609"/>
    </row>
    <row r="91" spans="1:43" x14ac:dyDescent="0.2">
      <c r="A91" s="602"/>
      <c r="B91" s="603" t="s">
        <v>428</v>
      </c>
      <c r="C91" s="593"/>
      <c r="D91" s="594"/>
      <c r="E91" s="594"/>
      <c r="F91" s="594"/>
      <c r="G91" s="594"/>
      <c r="H91" s="594"/>
      <c r="I91" s="594"/>
      <c r="J91" s="594"/>
      <c r="K91" s="594"/>
      <c r="L91" s="594"/>
      <c r="M91" s="594"/>
      <c r="N91" s="595"/>
      <c r="O91" s="594"/>
      <c r="P91" s="594"/>
      <c r="Q91" s="594"/>
      <c r="R91" s="594"/>
      <c r="S91" s="594"/>
      <c r="T91" s="594"/>
      <c r="U91" s="594"/>
      <c r="V91" s="594"/>
      <c r="W91" s="594"/>
      <c r="X91" s="594"/>
      <c r="Y91" s="595"/>
      <c r="Z91" s="604"/>
      <c r="AA91" s="605"/>
      <c r="AB91" s="605"/>
      <c r="AC91" s="606"/>
      <c r="AD91" s="607"/>
      <c r="AE91" s="608"/>
      <c r="AF91" s="608"/>
      <c r="AG91" s="440"/>
      <c r="AH91" s="440"/>
      <c r="AI91" s="440"/>
      <c r="AJ91" s="584"/>
      <c r="AK91" s="609"/>
      <c r="AL91" s="607"/>
      <c r="AM91" s="607"/>
      <c r="AN91" s="608"/>
      <c r="AO91" s="608"/>
      <c r="AP91" s="440"/>
      <c r="AQ91" s="609"/>
    </row>
    <row r="92" spans="1:43" x14ac:dyDescent="0.2">
      <c r="A92" s="602"/>
      <c r="B92" s="603" t="s">
        <v>429</v>
      </c>
      <c r="C92" s="593"/>
      <c r="D92" s="594"/>
      <c r="E92" s="594"/>
      <c r="F92" s="594"/>
      <c r="G92" s="594"/>
      <c r="H92" s="594"/>
      <c r="I92" s="594"/>
      <c r="J92" s="594"/>
      <c r="K92" s="594"/>
      <c r="L92" s="594"/>
      <c r="M92" s="594"/>
      <c r="N92" s="595"/>
      <c r="O92" s="594"/>
      <c r="P92" s="594"/>
      <c r="Q92" s="594"/>
      <c r="R92" s="594"/>
      <c r="S92" s="594"/>
      <c r="T92" s="594"/>
      <c r="U92" s="594"/>
      <c r="V92" s="594"/>
      <c r="W92" s="594"/>
      <c r="X92" s="594"/>
      <c r="Y92" s="595"/>
      <c r="Z92" s="604"/>
      <c r="AA92" s="605"/>
      <c r="AB92" s="605"/>
      <c r="AC92" s="606"/>
      <c r="AD92" s="607"/>
      <c r="AE92" s="608"/>
      <c r="AF92" s="608"/>
      <c r="AG92" s="440"/>
      <c r="AH92" s="440"/>
      <c r="AI92" s="440"/>
      <c r="AJ92" s="584"/>
      <c r="AK92" s="609"/>
      <c r="AL92" s="607"/>
      <c r="AM92" s="607"/>
      <c r="AN92" s="608"/>
      <c r="AO92" s="608"/>
      <c r="AP92" s="440"/>
      <c r="AQ92" s="609"/>
    </row>
    <row r="93" spans="1:43" x14ac:dyDescent="0.2">
      <c r="A93" s="602"/>
      <c r="B93" s="603" t="s">
        <v>430</v>
      </c>
      <c r="C93" s="593"/>
      <c r="D93" s="594"/>
      <c r="E93" s="594"/>
      <c r="F93" s="594"/>
      <c r="G93" s="594"/>
      <c r="H93" s="594"/>
      <c r="I93" s="594"/>
      <c r="J93" s="594"/>
      <c r="K93" s="594"/>
      <c r="L93" s="594"/>
      <c r="M93" s="594"/>
      <c r="N93" s="595"/>
      <c r="O93" s="594"/>
      <c r="P93" s="594"/>
      <c r="Q93" s="594"/>
      <c r="R93" s="594"/>
      <c r="S93" s="594"/>
      <c r="T93" s="594"/>
      <c r="U93" s="594"/>
      <c r="V93" s="594"/>
      <c r="W93" s="594"/>
      <c r="X93" s="594"/>
      <c r="Y93" s="595"/>
      <c r="Z93" s="604"/>
      <c r="AA93" s="605"/>
      <c r="AB93" s="605"/>
      <c r="AC93" s="606"/>
      <c r="AD93" s="607"/>
      <c r="AE93" s="608"/>
      <c r="AF93" s="608"/>
      <c r="AG93" s="440"/>
      <c r="AH93" s="440"/>
      <c r="AI93" s="440"/>
      <c r="AJ93" s="584"/>
      <c r="AK93" s="609"/>
      <c r="AL93" s="607"/>
      <c r="AM93" s="607"/>
      <c r="AN93" s="608"/>
      <c r="AO93" s="608"/>
      <c r="AP93" s="440"/>
      <c r="AQ93" s="609"/>
    </row>
    <row r="94" spans="1:43" ht="60" x14ac:dyDescent="0.2">
      <c r="A94" s="602"/>
      <c r="B94" s="603" t="s">
        <v>431</v>
      </c>
      <c r="C94" s="593"/>
      <c r="D94" s="594"/>
      <c r="E94" s="594"/>
      <c r="F94" s="594"/>
      <c r="G94" s="594"/>
      <c r="H94" s="594"/>
      <c r="I94" s="594"/>
      <c r="J94" s="594"/>
      <c r="K94" s="594"/>
      <c r="L94" s="594"/>
      <c r="M94" s="594"/>
      <c r="N94" s="595"/>
      <c r="O94" s="594"/>
      <c r="P94" s="594"/>
      <c r="Q94" s="594"/>
      <c r="R94" s="594"/>
      <c r="S94" s="594"/>
      <c r="T94" s="594"/>
      <c r="U94" s="594"/>
      <c r="V94" s="594"/>
      <c r="W94" s="594"/>
      <c r="X94" s="594"/>
      <c r="Y94" s="595"/>
      <c r="Z94" s="604"/>
      <c r="AA94" s="605"/>
      <c r="AB94" s="605"/>
      <c r="AC94" s="606"/>
      <c r="AD94" s="607"/>
      <c r="AE94" s="608"/>
      <c r="AF94" s="608"/>
      <c r="AG94" s="440"/>
      <c r="AH94" s="440"/>
      <c r="AI94" s="440"/>
      <c r="AJ94" s="584"/>
      <c r="AK94" s="609"/>
      <c r="AL94" s="607"/>
      <c r="AM94" s="607"/>
      <c r="AN94" s="608"/>
      <c r="AO94" s="608"/>
      <c r="AP94" s="440"/>
      <c r="AQ94" s="609"/>
    </row>
    <row r="95" spans="1:43" x14ac:dyDescent="0.2">
      <c r="A95" s="602"/>
      <c r="B95" s="603" t="s">
        <v>432</v>
      </c>
      <c r="C95" s="593"/>
      <c r="D95" s="594"/>
      <c r="E95" s="594"/>
      <c r="F95" s="594"/>
      <c r="G95" s="594"/>
      <c r="H95" s="594"/>
      <c r="I95" s="594"/>
      <c r="J95" s="594"/>
      <c r="K95" s="594"/>
      <c r="L95" s="594"/>
      <c r="M95" s="594"/>
      <c r="N95" s="595"/>
      <c r="O95" s="594"/>
      <c r="P95" s="594"/>
      <c r="Q95" s="594"/>
      <c r="R95" s="594"/>
      <c r="S95" s="594"/>
      <c r="T95" s="594"/>
      <c r="U95" s="594"/>
      <c r="V95" s="594"/>
      <c r="W95" s="594"/>
      <c r="X95" s="594"/>
      <c r="Y95" s="595"/>
      <c r="Z95" s="604"/>
      <c r="AA95" s="605"/>
      <c r="AB95" s="605"/>
      <c r="AC95" s="606"/>
      <c r="AD95" s="607"/>
      <c r="AE95" s="608"/>
      <c r="AF95" s="608"/>
      <c r="AG95" s="440"/>
      <c r="AH95" s="440"/>
      <c r="AI95" s="440"/>
      <c r="AJ95" s="584"/>
      <c r="AK95" s="609"/>
      <c r="AL95" s="607"/>
      <c r="AM95" s="607"/>
      <c r="AN95" s="608"/>
      <c r="AO95" s="608"/>
      <c r="AP95" s="440"/>
      <c r="AQ95" s="609"/>
    </row>
    <row r="96" spans="1:43" ht="48" x14ac:dyDescent="0.2">
      <c r="A96" s="602"/>
      <c r="B96" s="603" t="s">
        <v>433</v>
      </c>
      <c r="C96" s="593"/>
      <c r="D96" s="594"/>
      <c r="E96" s="594"/>
      <c r="F96" s="594"/>
      <c r="G96" s="594"/>
      <c r="H96" s="594"/>
      <c r="I96" s="594"/>
      <c r="J96" s="594"/>
      <c r="K96" s="594"/>
      <c r="L96" s="594"/>
      <c r="M96" s="594"/>
      <c r="N96" s="595"/>
      <c r="O96" s="594"/>
      <c r="P96" s="594"/>
      <c r="Q96" s="594"/>
      <c r="R96" s="594"/>
      <c r="S96" s="594"/>
      <c r="T96" s="594"/>
      <c r="U96" s="594"/>
      <c r="V96" s="594"/>
      <c r="W96" s="594"/>
      <c r="X96" s="594"/>
      <c r="Y96" s="595"/>
      <c r="Z96" s="604"/>
      <c r="AA96" s="605"/>
      <c r="AB96" s="605"/>
      <c r="AC96" s="606"/>
      <c r="AD96" s="607"/>
      <c r="AE96" s="608"/>
      <c r="AF96" s="608"/>
      <c r="AG96" s="440"/>
      <c r="AH96" s="440"/>
      <c r="AI96" s="440"/>
      <c r="AJ96" s="584"/>
      <c r="AK96" s="609"/>
      <c r="AL96" s="607"/>
      <c r="AM96" s="607"/>
      <c r="AN96" s="608"/>
      <c r="AO96" s="608"/>
      <c r="AP96" s="440"/>
      <c r="AQ96" s="609"/>
    </row>
    <row r="97" spans="1:43" x14ac:dyDescent="0.2">
      <c r="A97" s="602"/>
      <c r="B97" s="603" t="s">
        <v>434</v>
      </c>
      <c r="C97" s="593"/>
      <c r="D97" s="594"/>
      <c r="E97" s="594"/>
      <c r="F97" s="594"/>
      <c r="G97" s="594"/>
      <c r="H97" s="594"/>
      <c r="I97" s="594"/>
      <c r="J97" s="594"/>
      <c r="K97" s="594"/>
      <c r="L97" s="594"/>
      <c r="M97" s="594"/>
      <c r="N97" s="595"/>
      <c r="O97" s="594"/>
      <c r="P97" s="594"/>
      <c r="Q97" s="594"/>
      <c r="R97" s="594"/>
      <c r="S97" s="594"/>
      <c r="T97" s="594"/>
      <c r="U97" s="594"/>
      <c r="V97" s="594"/>
      <c r="W97" s="594"/>
      <c r="X97" s="594"/>
      <c r="Y97" s="595"/>
      <c r="Z97" s="604"/>
      <c r="AA97" s="605"/>
      <c r="AB97" s="605"/>
      <c r="AC97" s="606"/>
      <c r="AD97" s="607"/>
      <c r="AE97" s="608"/>
      <c r="AF97" s="608"/>
      <c r="AG97" s="440"/>
      <c r="AH97" s="440"/>
      <c r="AI97" s="440"/>
      <c r="AJ97" s="584"/>
      <c r="AK97" s="609"/>
      <c r="AL97" s="607"/>
      <c r="AM97" s="607"/>
      <c r="AN97" s="608"/>
      <c r="AO97" s="608"/>
      <c r="AP97" s="440"/>
      <c r="AQ97" s="609"/>
    </row>
    <row r="98" spans="1:43" ht="48" x14ac:dyDescent="0.2">
      <c r="A98" s="602"/>
      <c r="B98" s="603" t="s">
        <v>435</v>
      </c>
      <c r="C98" s="593"/>
      <c r="D98" s="594"/>
      <c r="E98" s="594"/>
      <c r="F98" s="594"/>
      <c r="G98" s="594"/>
      <c r="H98" s="594"/>
      <c r="I98" s="594"/>
      <c r="J98" s="594"/>
      <c r="K98" s="594"/>
      <c r="L98" s="594"/>
      <c r="M98" s="594"/>
      <c r="N98" s="595"/>
      <c r="O98" s="594"/>
      <c r="P98" s="594"/>
      <c r="Q98" s="594"/>
      <c r="R98" s="594"/>
      <c r="S98" s="594"/>
      <c r="T98" s="594"/>
      <c r="U98" s="594"/>
      <c r="V98" s="594"/>
      <c r="W98" s="594"/>
      <c r="X98" s="594"/>
      <c r="Y98" s="595"/>
      <c r="Z98" s="604"/>
      <c r="AA98" s="605"/>
      <c r="AB98" s="605"/>
      <c r="AC98" s="606"/>
      <c r="AD98" s="607"/>
      <c r="AE98" s="608"/>
      <c r="AF98" s="608"/>
      <c r="AG98" s="440"/>
      <c r="AH98" s="440"/>
      <c r="AI98" s="440"/>
      <c r="AJ98" s="584"/>
      <c r="AK98" s="609"/>
      <c r="AL98" s="607"/>
      <c r="AM98" s="607"/>
      <c r="AN98" s="608"/>
      <c r="AO98" s="608"/>
      <c r="AP98" s="440"/>
      <c r="AQ98" s="609"/>
    </row>
    <row r="99" spans="1:43" x14ac:dyDescent="0.2">
      <c r="A99" s="602"/>
      <c r="B99" s="603" t="s">
        <v>436</v>
      </c>
      <c r="C99" s="593"/>
      <c r="D99" s="594"/>
      <c r="E99" s="594"/>
      <c r="F99" s="594"/>
      <c r="G99" s="594"/>
      <c r="H99" s="594"/>
      <c r="I99" s="594"/>
      <c r="J99" s="594"/>
      <c r="K99" s="594"/>
      <c r="L99" s="594"/>
      <c r="M99" s="594"/>
      <c r="N99" s="595"/>
      <c r="O99" s="594"/>
      <c r="P99" s="594"/>
      <c r="Q99" s="594"/>
      <c r="R99" s="594"/>
      <c r="S99" s="594"/>
      <c r="T99" s="594"/>
      <c r="U99" s="594"/>
      <c r="V99" s="594"/>
      <c r="W99" s="594"/>
      <c r="X99" s="594"/>
      <c r="Y99" s="595"/>
      <c r="Z99" s="604"/>
      <c r="AA99" s="605"/>
      <c r="AB99" s="605"/>
      <c r="AC99" s="606"/>
      <c r="AD99" s="607"/>
      <c r="AE99" s="608"/>
      <c r="AF99" s="608"/>
      <c r="AG99" s="440"/>
      <c r="AH99" s="440"/>
      <c r="AI99" s="440"/>
      <c r="AJ99" s="584"/>
      <c r="AK99" s="609"/>
      <c r="AL99" s="607"/>
      <c r="AM99" s="607"/>
      <c r="AN99" s="608"/>
      <c r="AO99" s="608"/>
      <c r="AP99" s="440"/>
      <c r="AQ99" s="609"/>
    </row>
    <row r="100" spans="1:43" x14ac:dyDescent="0.2">
      <c r="A100" s="602"/>
      <c r="B100" s="603" t="s">
        <v>437</v>
      </c>
      <c r="C100" s="593"/>
      <c r="D100" s="594"/>
      <c r="E100" s="594"/>
      <c r="F100" s="594"/>
      <c r="G100" s="594"/>
      <c r="H100" s="594"/>
      <c r="I100" s="594"/>
      <c r="J100" s="594"/>
      <c r="K100" s="594"/>
      <c r="L100" s="594"/>
      <c r="M100" s="594"/>
      <c r="N100" s="595"/>
      <c r="O100" s="594"/>
      <c r="P100" s="594"/>
      <c r="Q100" s="594"/>
      <c r="R100" s="594"/>
      <c r="S100" s="594"/>
      <c r="T100" s="594"/>
      <c r="U100" s="594"/>
      <c r="V100" s="594"/>
      <c r="W100" s="594"/>
      <c r="X100" s="594"/>
      <c r="Y100" s="595"/>
      <c r="Z100" s="604"/>
      <c r="AA100" s="605"/>
      <c r="AB100" s="605"/>
      <c r="AC100" s="606"/>
      <c r="AD100" s="607"/>
      <c r="AE100" s="608"/>
      <c r="AF100" s="608"/>
      <c r="AG100" s="440"/>
      <c r="AH100" s="440"/>
      <c r="AI100" s="440"/>
      <c r="AJ100" s="584"/>
      <c r="AK100" s="609"/>
      <c r="AL100" s="607"/>
      <c r="AM100" s="607"/>
      <c r="AN100" s="608"/>
      <c r="AO100" s="608"/>
      <c r="AP100" s="440"/>
      <c r="AQ100" s="609"/>
    </row>
    <row r="101" spans="1:43" x14ac:dyDescent="0.2">
      <c r="A101" s="602"/>
      <c r="B101" s="603" t="s">
        <v>438</v>
      </c>
      <c r="C101" s="593"/>
      <c r="D101" s="594"/>
      <c r="E101" s="594"/>
      <c r="F101" s="594"/>
      <c r="G101" s="594"/>
      <c r="H101" s="594"/>
      <c r="I101" s="594"/>
      <c r="J101" s="594"/>
      <c r="K101" s="594"/>
      <c r="L101" s="594"/>
      <c r="M101" s="594"/>
      <c r="N101" s="595"/>
      <c r="O101" s="594"/>
      <c r="P101" s="594"/>
      <c r="Q101" s="594"/>
      <c r="R101" s="594"/>
      <c r="S101" s="594"/>
      <c r="T101" s="594"/>
      <c r="U101" s="594"/>
      <c r="V101" s="594"/>
      <c r="W101" s="594"/>
      <c r="X101" s="594"/>
      <c r="Y101" s="595"/>
      <c r="Z101" s="604"/>
      <c r="AA101" s="605"/>
      <c r="AB101" s="605"/>
      <c r="AC101" s="606"/>
      <c r="AD101" s="607"/>
      <c r="AE101" s="608"/>
      <c r="AF101" s="608"/>
      <c r="AG101" s="440"/>
      <c r="AH101" s="440"/>
      <c r="AI101" s="440"/>
      <c r="AJ101" s="584"/>
      <c r="AK101" s="609"/>
      <c r="AL101" s="607"/>
      <c r="AM101" s="607"/>
      <c r="AN101" s="608"/>
      <c r="AO101" s="608"/>
      <c r="AP101" s="440"/>
      <c r="AQ101" s="609"/>
    </row>
    <row r="102" spans="1:43" x14ac:dyDescent="0.2">
      <c r="A102" s="602"/>
      <c r="B102" s="603" t="s">
        <v>439</v>
      </c>
      <c r="C102" s="593"/>
      <c r="D102" s="594"/>
      <c r="E102" s="594"/>
      <c r="F102" s="594"/>
      <c r="G102" s="594"/>
      <c r="H102" s="594"/>
      <c r="I102" s="594"/>
      <c r="J102" s="594"/>
      <c r="K102" s="594"/>
      <c r="L102" s="594"/>
      <c r="M102" s="594"/>
      <c r="N102" s="595"/>
      <c r="O102" s="594"/>
      <c r="P102" s="594"/>
      <c r="Q102" s="594"/>
      <c r="R102" s="594"/>
      <c r="S102" s="594"/>
      <c r="T102" s="594"/>
      <c r="U102" s="594"/>
      <c r="V102" s="594"/>
      <c r="W102" s="594"/>
      <c r="X102" s="594"/>
      <c r="Y102" s="595"/>
      <c r="Z102" s="604"/>
      <c r="AA102" s="605"/>
      <c r="AB102" s="605"/>
      <c r="AC102" s="606"/>
      <c r="AD102" s="607"/>
      <c r="AE102" s="608"/>
      <c r="AF102" s="608"/>
      <c r="AG102" s="440"/>
      <c r="AH102" s="440"/>
      <c r="AI102" s="440"/>
      <c r="AJ102" s="584"/>
      <c r="AK102" s="609"/>
      <c r="AL102" s="607"/>
      <c r="AM102" s="607"/>
      <c r="AN102" s="608"/>
      <c r="AO102" s="608"/>
      <c r="AP102" s="440"/>
      <c r="AQ102" s="609"/>
    </row>
    <row r="103" spans="1:43" ht="24" x14ac:dyDescent="0.2">
      <c r="A103" s="602"/>
      <c r="B103" s="603" t="s">
        <v>440</v>
      </c>
      <c r="C103" s="593"/>
      <c r="D103" s="594"/>
      <c r="E103" s="594"/>
      <c r="F103" s="594"/>
      <c r="G103" s="594"/>
      <c r="H103" s="594"/>
      <c r="I103" s="594"/>
      <c r="J103" s="594"/>
      <c r="K103" s="594"/>
      <c r="L103" s="594"/>
      <c r="M103" s="594"/>
      <c r="N103" s="595"/>
      <c r="O103" s="594"/>
      <c r="P103" s="594"/>
      <c r="Q103" s="594"/>
      <c r="R103" s="594"/>
      <c r="S103" s="594"/>
      <c r="T103" s="594"/>
      <c r="U103" s="594"/>
      <c r="V103" s="594"/>
      <c r="W103" s="594"/>
      <c r="X103" s="594"/>
      <c r="Y103" s="595"/>
      <c r="Z103" s="604"/>
      <c r="AA103" s="605"/>
      <c r="AB103" s="605"/>
      <c r="AC103" s="606"/>
      <c r="AD103" s="607"/>
      <c r="AE103" s="608"/>
      <c r="AF103" s="608"/>
      <c r="AG103" s="440"/>
      <c r="AH103" s="440"/>
      <c r="AI103" s="440"/>
      <c r="AJ103" s="584"/>
      <c r="AK103" s="609"/>
      <c r="AL103" s="607"/>
      <c r="AM103" s="607"/>
      <c r="AN103" s="608"/>
      <c r="AO103" s="608"/>
      <c r="AP103" s="440"/>
      <c r="AQ103" s="609"/>
    </row>
    <row r="104" spans="1:43" x14ac:dyDescent="0.2">
      <c r="A104" s="602"/>
      <c r="B104" s="603" t="s">
        <v>441</v>
      </c>
      <c r="C104" s="593"/>
      <c r="D104" s="594"/>
      <c r="E104" s="594"/>
      <c r="F104" s="594"/>
      <c r="G104" s="594"/>
      <c r="H104" s="594"/>
      <c r="I104" s="594"/>
      <c r="J104" s="594"/>
      <c r="K104" s="594"/>
      <c r="L104" s="594"/>
      <c r="M104" s="594"/>
      <c r="N104" s="595"/>
      <c r="O104" s="594"/>
      <c r="P104" s="594"/>
      <c r="Q104" s="594"/>
      <c r="R104" s="594"/>
      <c r="S104" s="594"/>
      <c r="T104" s="594"/>
      <c r="U104" s="594"/>
      <c r="V104" s="594"/>
      <c r="W104" s="594"/>
      <c r="X104" s="594"/>
      <c r="Y104" s="595"/>
      <c r="Z104" s="604"/>
      <c r="AA104" s="605"/>
      <c r="AB104" s="605"/>
      <c r="AC104" s="606"/>
      <c r="AD104" s="607"/>
      <c r="AE104" s="608"/>
      <c r="AF104" s="608"/>
      <c r="AG104" s="440"/>
      <c r="AH104" s="440"/>
      <c r="AI104" s="440"/>
      <c r="AJ104" s="584"/>
      <c r="AK104" s="609"/>
      <c r="AL104" s="607"/>
      <c r="AM104" s="607"/>
      <c r="AN104" s="608"/>
      <c r="AO104" s="608"/>
      <c r="AP104" s="440"/>
      <c r="AQ104" s="609"/>
    </row>
    <row r="105" spans="1:43" ht="24" x14ac:dyDescent="0.2">
      <c r="A105" s="602"/>
      <c r="B105" s="603" t="s">
        <v>442</v>
      </c>
      <c r="C105" s="593"/>
      <c r="D105" s="594"/>
      <c r="E105" s="594"/>
      <c r="F105" s="594"/>
      <c r="G105" s="594"/>
      <c r="H105" s="594"/>
      <c r="I105" s="594"/>
      <c r="J105" s="594"/>
      <c r="K105" s="594"/>
      <c r="L105" s="594"/>
      <c r="M105" s="594"/>
      <c r="N105" s="595"/>
      <c r="O105" s="594"/>
      <c r="P105" s="594"/>
      <c r="Q105" s="594"/>
      <c r="R105" s="594"/>
      <c r="S105" s="594"/>
      <c r="T105" s="594"/>
      <c r="U105" s="594"/>
      <c r="V105" s="594"/>
      <c r="W105" s="594"/>
      <c r="X105" s="594"/>
      <c r="Y105" s="595"/>
      <c r="Z105" s="604"/>
      <c r="AA105" s="605"/>
      <c r="AB105" s="605"/>
      <c r="AC105" s="606"/>
      <c r="AD105" s="607"/>
      <c r="AE105" s="608"/>
      <c r="AF105" s="608"/>
      <c r="AG105" s="440"/>
      <c r="AH105" s="440"/>
      <c r="AI105" s="440"/>
      <c r="AJ105" s="584"/>
      <c r="AK105" s="609"/>
      <c r="AL105" s="607"/>
      <c r="AM105" s="607"/>
      <c r="AN105" s="608"/>
      <c r="AO105" s="608"/>
      <c r="AP105" s="440"/>
      <c r="AQ105" s="609"/>
    </row>
    <row r="106" spans="1:43" ht="36" x14ac:dyDescent="0.2">
      <c r="A106" s="602"/>
      <c r="B106" s="603" t="s">
        <v>443</v>
      </c>
      <c r="C106" s="593"/>
      <c r="D106" s="594"/>
      <c r="E106" s="594"/>
      <c r="F106" s="594"/>
      <c r="G106" s="594"/>
      <c r="H106" s="594"/>
      <c r="I106" s="594"/>
      <c r="J106" s="594"/>
      <c r="K106" s="594"/>
      <c r="L106" s="594"/>
      <c r="M106" s="594"/>
      <c r="N106" s="595"/>
      <c r="O106" s="594"/>
      <c r="P106" s="594"/>
      <c r="Q106" s="594"/>
      <c r="R106" s="594"/>
      <c r="S106" s="594"/>
      <c r="T106" s="594"/>
      <c r="U106" s="594"/>
      <c r="V106" s="594"/>
      <c r="W106" s="594"/>
      <c r="X106" s="594"/>
      <c r="Y106" s="595"/>
      <c r="Z106" s="604"/>
      <c r="AA106" s="605"/>
      <c r="AB106" s="605"/>
      <c r="AC106" s="606"/>
      <c r="AD106" s="607"/>
      <c r="AE106" s="608"/>
      <c r="AF106" s="608"/>
      <c r="AG106" s="440"/>
      <c r="AH106" s="440"/>
      <c r="AI106" s="440"/>
      <c r="AJ106" s="584"/>
      <c r="AK106" s="609"/>
      <c r="AL106" s="607"/>
      <c r="AM106" s="607"/>
      <c r="AN106" s="608"/>
      <c r="AO106" s="608"/>
      <c r="AP106" s="440"/>
      <c r="AQ106" s="609"/>
    </row>
    <row r="107" spans="1:43" x14ac:dyDescent="0.2">
      <c r="A107" s="602"/>
      <c r="B107" s="603" t="s">
        <v>444</v>
      </c>
      <c r="C107" s="593"/>
      <c r="D107" s="594"/>
      <c r="E107" s="594"/>
      <c r="F107" s="594"/>
      <c r="G107" s="594"/>
      <c r="H107" s="594"/>
      <c r="I107" s="594"/>
      <c r="J107" s="594"/>
      <c r="K107" s="594"/>
      <c r="L107" s="594"/>
      <c r="M107" s="594"/>
      <c r="N107" s="595"/>
      <c r="O107" s="594"/>
      <c r="P107" s="594"/>
      <c r="Q107" s="594"/>
      <c r="R107" s="594"/>
      <c r="S107" s="594"/>
      <c r="T107" s="594"/>
      <c r="U107" s="594"/>
      <c r="V107" s="594"/>
      <c r="W107" s="594"/>
      <c r="X107" s="594"/>
      <c r="Y107" s="595"/>
      <c r="Z107" s="604"/>
      <c r="AA107" s="605"/>
      <c r="AB107" s="605"/>
      <c r="AC107" s="606"/>
      <c r="AD107" s="607"/>
      <c r="AE107" s="608"/>
      <c r="AF107" s="608"/>
      <c r="AG107" s="440"/>
      <c r="AH107" s="440"/>
      <c r="AI107" s="440"/>
      <c r="AJ107" s="584"/>
      <c r="AK107" s="609"/>
      <c r="AL107" s="607"/>
      <c r="AM107" s="607"/>
      <c r="AN107" s="608"/>
      <c r="AO107" s="608"/>
      <c r="AP107" s="440"/>
      <c r="AQ107" s="609"/>
    </row>
    <row r="108" spans="1:43" x14ac:dyDescent="0.2">
      <c r="A108" s="602"/>
      <c r="B108" s="603" t="s">
        <v>445</v>
      </c>
      <c r="C108" s="593"/>
      <c r="D108" s="594"/>
      <c r="E108" s="594"/>
      <c r="F108" s="594"/>
      <c r="G108" s="594"/>
      <c r="H108" s="594"/>
      <c r="I108" s="594"/>
      <c r="J108" s="594"/>
      <c r="K108" s="594"/>
      <c r="L108" s="594"/>
      <c r="M108" s="594"/>
      <c r="N108" s="595"/>
      <c r="O108" s="594"/>
      <c r="P108" s="594"/>
      <c r="Q108" s="594"/>
      <c r="R108" s="594"/>
      <c r="S108" s="594"/>
      <c r="T108" s="594"/>
      <c r="U108" s="594"/>
      <c r="V108" s="594"/>
      <c r="W108" s="594"/>
      <c r="X108" s="594"/>
      <c r="Y108" s="595"/>
      <c r="Z108" s="604"/>
      <c r="AA108" s="605"/>
      <c r="AB108" s="605"/>
      <c r="AC108" s="606"/>
      <c r="AD108" s="607"/>
      <c r="AE108" s="608"/>
      <c r="AF108" s="608"/>
      <c r="AG108" s="440"/>
      <c r="AH108" s="440"/>
      <c r="AI108" s="440"/>
      <c r="AJ108" s="584"/>
      <c r="AK108" s="609"/>
      <c r="AL108" s="607"/>
      <c r="AM108" s="607"/>
      <c r="AN108" s="608"/>
      <c r="AO108" s="608"/>
      <c r="AP108" s="440"/>
      <c r="AQ108" s="609"/>
    </row>
    <row r="109" spans="1:43" x14ac:dyDescent="0.2">
      <c r="A109" s="602"/>
      <c r="B109" s="603" t="s">
        <v>446</v>
      </c>
      <c r="C109" s="593"/>
      <c r="D109" s="594"/>
      <c r="E109" s="594"/>
      <c r="F109" s="594"/>
      <c r="G109" s="594"/>
      <c r="H109" s="594"/>
      <c r="I109" s="594"/>
      <c r="J109" s="594"/>
      <c r="K109" s="594"/>
      <c r="L109" s="594"/>
      <c r="M109" s="594"/>
      <c r="N109" s="595"/>
      <c r="O109" s="594"/>
      <c r="P109" s="594"/>
      <c r="Q109" s="594"/>
      <c r="R109" s="594"/>
      <c r="S109" s="594"/>
      <c r="T109" s="594"/>
      <c r="U109" s="594"/>
      <c r="V109" s="594"/>
      <c r="W109" s="594"/>
      <c r="X109" s="594"/>
      <c r="Y109" s="595"/>
      <c r="Z109" s="604"/>
      <c r="AA109" s="605"/>
      <c r="AB109" s="605"/>
      <c r="AC109" s="606"/>
      <c r="AD109" s="607"/>
      <c r="AE109" s="608"/>
      <c r="AF109" s="608"/>
      <c r="AG109" s="440"/>
      <c r="AH109" s="440"/>
      <c r="AI109" s="440"/>
      <c r="AJ109" s="584"/>
      <c r="AK109" s="609"/>
      <c r="AL109" s="607"/>
      <c r="AM109" s="607"/>
      <c r="AN109" s="608"/>
      <c r="AO109" s="608"/>
      <c r="AP109" s="440"/>
      <c r="AQ109" s="609"/>
    </row>
    <row r="110" spans="1:43" ht="24" x14ac:dyDescent="0.2">
      <c r="A110" s="602"/>
      <c r="B110" s="603" t="s">
        <v>447</v>
      </c>
      <c r="C110" s="593"/>
      <c r="D110" s="594"/>
      <c r="E110" s="594"/>
      <c r="F110" s="594"/>
      <c r="G110" s="594"/>
      <c r="H110" s="594"/>
      <c r="I110" s="594"/>
      <c r="J110" s="594"/>
      <c r="K110" s="594"/>
      <c r="L110" s="594"/>
      <c r="M110" s="594"/>
      <c r="N110" s="595"/>
      <c r="O110" s="594"/>
      <c r="P110" s="594"/>
      <c r="Q110" s="594"/>
      <c r="R110" s="594"/>
      <c r="S110" s="594"/>
      <c r="T110" s="594"/>
      <c r="U110" s="594"/>
      <c r="V110" s="594"/>
      <c r="W110" s="594"/>
      <c r="X110" s="594"/>
      <c r="Y110" s="595"/>
      <c r="Z110" s="604"/>
      <c r="AA110" s="605"/>
      <c r="AB110" s="605"/>
      <c r="AC110" s="606"/>
      <c r="AD110" s="607"/>
      <c r="AE110" s="608"/>
      <c r="AF110" s="608"/>
      <c r="AG110" s="440"/>
      <c r="AH110" s="440"/>
      <c r="AI110" s="440"/>
      <c r="AJ110" s="584"/>
      <c r="AK110" s="609"/>
      <c r="AL110" s="607"/>
      <c r="AM110" s="607"/>
      <c r="AN110" s="608"/>
      <c r="AO110" s="608"/>
      <c r="AP110" s="440"/>
      <c r="AQ110" s="609"/>
    </row>
    <row r="111" spans="1:43" ht="24" x14ac:dyDescent="0.2">
      <c r="A111" s="602"/>
      <c r="B111" s="603" t="s">
        <v>448</v>
      </c>
      <c r="C111" s="593"/>
      <c r="D111" s="594"/>
      <c r="E111" s="594"/>
      <c r="F111" s="594"/>
      <c r="G111" s="594"/>
      <c r="H111" s="594"/>
      <c r="I111" s="594"/>
      <c r="J111" s="594"/>
      <c r="K111" s="594"/>
      <c r="L111" s="594"/>
      <c r="M111" s="594"/>
      <c r="N111" s="595"/>
      <c r="O111" s="594"/>
      <c r="P111" s="594"/>
      <c r="Q111" s="594"/>
      <c r="R111" s="594"/>
      <c r="S111" s="594"/>
      <c r="T111" s="594"/>
      <c r="U111" s="594"/>
      <c r="V111" s="594"/>
      <c r="W111" s="594"/>
      <c r="X111" s="594"/>
      <c r="Y111" s="595"/>
      <c r="Z111" s="604"/>
      <c r="AA111" s="605"/>
      <c r="AB111" s="605"/>
      <c r="AC111" s="606"/>
      <c r="AD111" s="607"/>
      <c r="AE111" s="608"/>
      <c r="AF111" s="608"/>
      <c r="AG111" s="440"/>
      <c r="AH111" s="440"/>
      <c r="AI111" s="440"/>
      <c r="AJ111" s="584"/>
      <c r="AK111" s="609"/>
      <c r="AL111" s="607"/>
      <c r="AM111" s="607"/>
      <c r="AN111" s="608"/>
      <c r="AO111" s="608"/>
      <c r="AP111" s="440"/>
      <c r="AQ111" s="609"/>
    </row>
    <row r="112" spans="1:43" ht="36" x14ac:dyDescent="0.2">
      <c r="A112" s="602"/>
      <c r="B112" s="603" t="s">
        <v>449</v>
      </c>
      <c r="C112" s="593"/>
      <c r="D112" s="594"/>
      <c r="E112" s="594"/>
      <c r="F112" s="594"/>
      <c r="G112" s="594"/>
      <c r="H112" s="594"/>
      <c r="I112" s="594"/>
      <c r="J112" s="594"/>
      <c r="K112" s="594"/>
      <c r="L112" s="594"/>
      <c r="M112" s="594"/>
      <c r="N112" s="595"/>
      <c r="O112" s="594"/>
      <c r="P112" s="594"/>
      <c r="Q112" s="594"/>
      <c r="R112" s="594"/>
      <c r="S112" s="594"/>
      <c r="T112" s="594"/>
      <c r="U112" s="594"/>
      <c r="V112" s="594"/>
      <c r="W112" s="594"/>
      <c r="X112" s="594"/>
      <c r="Y112" s="595"/>
      <c r="Z112" s="604"/>
      <c r="AA112" s="605"/>
      <c r="AB112" s="605"/>
      <c r="AC112" s="606"/>
      <c r="AD112" s="607"/>
      <c r="AE112" s="608"/>
      <c r="AF112" s="608"/>
      <c r="AG112" s="440"/>
      <c r="AH112" s="440"/>
      <c r="AI112" s="440"/>
      <c r="AJ112" s="584"/>
      <c r="AK112" s="609"/>
      <c r="AL112" s="607"/>
      <c r="AM112" s="607"/>
      <c r="AN112" s="608"/>
      <c r="AO112" s="608"/>
      <c r="AP112" s="440"/>
      <c r="AQ112" s="609"/>
    </row>
    <row r="113" spans="1:43" ht="24" x14ac:dyDescent="0.2">
      <c r="A113" s="602"/>
      <c r="B113" s="603" t="s">
        <v>450</v>
      </c>
      <c r="C113" s="593"/>
      <c r="D113" s="594"/>
      <c r="E113" s="594"/>
      <c r="F113" s="594"/>
      <c r="G113" s="594"/>
      <c r="H113" s="594"/>
      <c r="I113" s="594"/>
      <c r="J113" s="594"/>
      <c r="K113" s="594"/>
      <c r="L113" s="594"/>
      <c r="M113" s="594"/>
      <c r="N113" s="595"/>
      <c r="O113" s="594"/>
      <c r="P113" s="594"/>
      <c r="Q113" s="594"/>
      <c r="R113" s="594"/>
      <c r="S113" s="594"/>
      <c r="T113" s="594"/>
      <c r="U113" s="594"/>
      <c r="V113" s="594"/>
      <c r="W113" s="594"/>
      <c r="X113" s="594"/>
      <c r="Y113" s="595"/>
      <c r="Z113" s="604"/>
      <c r="AA113" s="605"/>
      <c r="AB113" s="605"/>
      <c r="AC113" s="606"/>
      <c r="AD113" s="607"/>
      <c r="AE113" s="608"/>
      <c r="AF113" s="608"/>
      <c r="AG113" s="440"/>
      <c r="AH113" s="440"/>
      <c r="AI113" s="440"/>
      <c r="AJ113" s="584"/>
      <c r="AK113" s="609"/>
      <c r="AL113" s="607"/>
      <c r="AM113" s="607"/>
      <c r="AN113" s="608"/>
      <c r="AO113" s="608"/>
      <c r="AP113" s="440"/>
      <c r="AQ113" s="609"/>
    </row>
    <row r="114" spans="1:43" ht="36" x14ac:dyDescent="0.2">
      <c r="A114" s="602"/>
      <c r="B114" s="603" t="s">
        <v>451</v>
      </c>
      <c r="C114" s="593"/>
      <c r="D114" s="594"/>
      <c r="E114" s="594"/>
      <c r="F114" s="594"/>
      <c r="G114" s="594"/>
      <c r="H114" s="594"/>
      <c r="I114" s="594"/>
      <c r="J114" s="594"/>
      <c r="K114" s="594"/>
      <c r="L114" s="594"/>
      <c r="M114" s="594"/>
      <c r="N114" s="595"/>
      <c r="O114" s="594"/>
      <c r="P114" s="594"/>
      <c r="Q114" s="594"/>
      <c r="R114" s="594"/>
      <c r="S114" s="594"/>
      <c r="T114" s="594"/>
      <c r="U114" s="594"/>
      <c r="V114" s="594"/>
      <c r="W114" s="594"/>
      <c r="X114" s="594"/>
      <c r="Y114" s="595"/>
      <c r="Z114" s="604"/>
      <c r="AA114" s="605"/>
      <c r="AB114" s="605"/>
      <c r="AC114" s="606"/>
      <c r="AD114" s="607"/>
      <c r="AE114" s="608"/>
      <c r="AF114" s="608"/>
      <c r="AG114" s="440"/>
      <c r="AH114" s="440"/>
      <c r="AI114" s="440"/>
      <c r="AJ114" s="584"/>
      <c r="AK114" s="609"/>
      <c r="AL114" s="607"/>
      <c r="AM114" s="607"/>
      <c r="AN114" s="608"/>
      <c r="AO114" s="608"/>
      <c r="AP114" s="440"/>
      <c r="AQ114" s="609"/>
    </row>
    <row r="115" spans="1:43" x14ac:dyDescent="0.2">
      <c r="A115" s="602"/>
      <c r="B115" s="603" t="s">
        <v>453</v>
      </c>
      <c r="C115" s="593"/>
      <c r="D115" s="594"/>
      <c r="E115" s="594"/>
      <c r="F115" s="594"/>
      <c r="G115" s="594"/>
      <c r="H115" s="594"/>
      <c r="I115" s="594"/>
      <c r="J115" s="594"/>
      <c r="K115" s="594"/>
      <c r="L115" s="594"/>
      <c r="M115" s="594"/>
      <c r="N115" s="595"/>
      <c r="O115" s="594"/>
      <c r="P115" s="594"/>
      <c r="Q115" s="594"/>
      <c r="R115" s="594"/>
      <c r="S115" s="594"/>
      <c r="T115" s="594"/>
      <c r="U115" s="594"/>
      <c r="V115" s="594"/>
      <c r="W115" s="594"/>
      <c r="X115" s="594"/>
      <c r="Y115" s="595"/>
      <c r="Z115" s="604"/>
      <c r="AA115" s="605"/>
      <c r="AB115" s="605"/>
      <c r="AC115" s="606"/>
      <c r="AD115" s="607"/>
      <c r="AE115" s="608"/>
      <c r="AF115" s="608"/>
      <c r="AG115" s="440"/>
      <c r="AH115" s="440"/>
      <c r="AI115" s="440"/>
      <c r="AJ115" s="584"/>
      <c r="AK115" s="609"/>
      <c r="AL115" s="607"/>
      <c r="AM115" s="607"/>
      <c r="AN115" s="608"/>
      <c r="AO115" s="608"/>
      <c r="AP115" s="440"/>
      <c r="AQ115" s="609"/>
    </row>
    <row r="116" spans="1:43" x14ac:dyDescent="0.2">
      <c r="A116" s="591" t="s">
        <v>148</v>
      </c>
      <c r="B116" s="592"/>
      <c r="C116" s="876"/>
      <c r="D116" s="872"/>
      <c r="E116" s="872"/>
      <c r="F116" s="872"/>
      <c r="G116" s="872"/>
      <c r="H116" s="872"/>
      <c r="I116" s="872"/>
      <c r="J116" s="872"/>
      <c r="K116" s="872"/>
      <c r="L116" s="872"/>
      <c r="M116" s="872"/>
      <c r="N116" s="873"/>
      <c r="O116" s="872"/>
      <c r="P116" s="872"/>
      <c r="Q116" s="872"/>
      <c r="R116" s="872"/>
      <c r="S116" s="872"/>
      <c r="T116" s="872"/>
      <c r="U116" s="872"/>
      <c r="V116" s="872"/>
      <c r="W116" s="872"/>
      <c r="X116" s="872"/>
      <c r="Y116" s="873"/>
      <c r="Z116" s="618"/>
      <c r="AA116" s="619"/>
      <c r="AB116" s="619"/>
      <c r="AC116" s="620"/>
      <c r="AD116" s="599">
        <v>720</v>
      </c>
      <c r="AE116" s="600">
        <v>815</v>
      </c>
      <c r="AF116" s="600">
        <v>920</v>
      </c>
      <c r="AG116" s="440">
        <f>AD116*AF116</f>
        <v>662400</v>
      </c>
      <c r="AH116" s="440">
        <f>AE116*AF116</f>
        <v>749800</v>
      </c>
      <c r="AI116" s="440">
        <f t="shared" ref="AI116" si="5">AH116-AG116</f>
        <v>87400</v>
      </c>
      <c r="AJ116" s="584"/>
      <c r="AK116" s="621"/>
      <c r="AL116" s="599"/>
      <c r="AM116" s="599"/>
      <c r="AN116" s="600"/>
      <c r="AO116" s="600"/>
      <c r="AP116" s="440">
        <v>0</v>
      </c>
      <c r="AQ116" s="621"/>
    </row>
    <row r="117" spans="1:43" x14ac:dyDescent="0.2">
      <c r="A117" s="591"/>
      <c r="B117" s="592"/>
      <c r="C117" s="615"/>
      <c r="D117" s="616"/>
      <c r="E117" s="616"/>
      <c r="F117" s="616"/>
      <c r="G117" s="616"/>
      <c r="H117" s="616"/>
      <c r="I117" s="616"/>
      <c r="J117" s="616"/>
      <c r="K117" s="616"/>
      <c r="L117" s="616"/>
      <c r="M117" s="616"/>
      <c r="N117" s="617"/>
      <c r="O117" s="616"/>
      <c r="P117" s="616"/>
      <c r="Q117" s="616"/>
      <c r="R117" s="616"/>
      <c r="S117" s="616"/>
      <c r="T117" s="616"/>
      <c r="U117" s="616"/>
      <c r="V117" s="616"/>
      <c r="W117" s="616"/>
      <c r="X117" s="616"/>
      <c r="Y117" s="617"/>
      <c r="Z117" s="618"/>
      <c r="AA117" s="619"/>
      <c r="AB117" s="619"/>
      <c r="AC117" s="620"/>
      <c r="AD117" s="599"/>
      <c r="AE117" s="600"/>
      <c r="AF117" s="600"/>
      <c r="AG117" s="440"/>
      <c r="AH117" s="440"/>
      <c r="AI117" s="440"/>
      <c r="AJ117" s="584"/>
      <c r="AK117" s="621"/>
      <c r="AL117" s="599"/>
      <c r="AM117" s="599"/>
      <c r="AN117" s="600"/>
      <c r="AO117" s="600"/>
      <c r="AP117" s="440"/>
      <c r="AQ117" s="621"/>
    </row>
    <row r="118" spans="1:43" ht="59.1" customHeight="1" thickBot="1" x14ac:dyDescent="0.25">
      <c r="A118" s="614" t="s">
        <v>484</v>
      </c>
      <c r="B118" s="614"/>
      <c r="C118" s="255"/>
      <c r="D118" s="256"/>
      <c r="E118" s="256"/>
      <c r="F118" s="256"/>
      <c r="G118" s="256"/>
      <c r="H118" s="256"/>
      <c r="I118" s="256"/>
      <c r="J118" s="256"/>
      <c r="K118" s="256"/>
      <c r="L118" s="256"/>
      <c r="M118" s="256"/>
      <c r="N118" s="257"/>
      <c r="O118" s="256"/>
      <c r="P118" s="256"/>
      <c r="Q118" s="256"/>
      <c r="R118" s="256"/>
      <c r="S118" s="256"/>
      <c r="T118" s="256"/>
      <c r="U118" s="256"/>
      <c r="V118" s="877"/>
      <c r="W118" s="877"/>
      <c r="X118" s="877"/>
      <c r="Y118" s="878"/>
      <c r="Z118" s="481"/>
      <c r="AA118" s="482"/>
      <c r="AB118" s="482"/>
      <c r="AC118" s="483"/>
      <c r="AD118" s="443">
        <v>85</v>
      </c>
      <c r="AE118" s="225">
        <v>93</v>
      </c>
      <c r="AF118" s="225">
        <v>920</v>
      </c>
      <c r="AG118" s="440">
        <f>AD118*AF118</f>
        <v>78200</v>
      </c>
      <c r="AH118" s="440">
        <f>AE118*AF118</f>
        <v>85560</v>
      </c>
      <c r="AI118" s="440">
        <f t="shared" ref="AI118" si="6">AH118-AG118</f>
        <v>7360</v>
      </c>
      <c r="AJ118" s="584">
        <v>6375</v>
      </c>
      <c r="AK118" s="445"/>
      <c r="AL118" s="443"/>
      <c r="AM118" s="443"/>
      <c r="AN118" s="225"/>
      <c r="AO118" s="225"/>
      <c r="AP118" s="440">
        <f t="shared" si="1"/>
        <v>0</v>
      </c>
      <c r="AQ118" s="445"/>
    </row>
    <row r="119" spans="1:43" ht="12.75" thickBot="1" x14ac:dyDescent="0.25">
      <c r="A119" s="205" t="s">
        <v>149</v>
      </c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475"/>
      <c r="AA119" s="475"/>
      <c r="AB119" s="475"/>
      <c r="AC119" s="475">
        <f t="shared" ref="AC119:AI119" si="7">SUM(AC6:AC118)</f>
        <v>0</v>
      </c>
      <c r="AD119" s="220">
        <f t="shared" si="7"/>
        <v>11595</v>
      </c>
      <c r="AE119" s="220">
        <f t="shared" si="7"/>
        <v>13033</v>
      </c>
      <c r="AF119" s="220">
        <f>SUM(AF6:AF118)</f>
        <v>6440</v>
      </c>
      <c r="AG119" s="222">
        <f t="shared" si="7"/>
        <v>10667400</v>
      </c>
      <c r="AH119" s="222">
        <f t="shared" si="7"/>
        <v>11990360</v>
      </c>
      <c r="AI119" s="222">
        <f t="shared" si="7"/>
        <v>1322960</v>
      </c>
      <c r="AJ119" s="237">
        <f>SUM(AJ6:AJ118)</f>
        <v>1376692</v>
      </c>
      <c r="AK119" s="236"/>
      <c r="AL119" s="220"/>
      <c r="AM119" s="220">
        <f>SUM(AM6:AM118)</f>
        <v>0</v>
      </c>
      <c r="AN119" s="220">
        <f>SUM(AN6:AN118)</f>
        <v>0</v>
      </c>
      <c r="AO119" s="220">
        <f>SUM(AO6:AO118)</f>
        <v>0</v>
      </c>
      <c r="AP119" s="222">
        <f>SUM(AP6:AP118)</f>
        <v>0</v>
      </c>
      <c r="AQ119" s="222"/>
    </row>
    <row r="120" spans="1:43" x14ac:dyDescent="0.2">
      <c r="AC120" s="116" t="s">
        <v>686</v>
      </c>
      <c r="AD120" s="116">
        <f>AVERAGE(AD119:AE119)</f>
        <v>12314</v>
      </c>
    </row>
    <row r="122" spans="1:43" ht="15.75" x14ac:dyDescent="0.25">
      <c r="AG122" s="123"/>
    </row>
  </sheetData>
  <mergeCells count="7">
    <mergeCell ref="AQ4:AQ5"/>
    <mergeCell ref="A1:B1"/>
    <mergeCell ref="C1:AQ1"/>
    <mergeCell ref="Z2:AK2"/>
    <mergeCell ref="AL2:AQ2"/>
    <mergeCell ref="Z3:AC3"/>
    <mergeCell ref="AD3:AK3"/>
  </mergeCells>
  <conditionalFormatting sqref="C6:AC118">
    <cfRule type="colorScale" priority="1">
      <colorScale>
        <cfvo type="num" val="0"/>
        <cfvo type="num" val="1"/>
        <color theme="0"/>
        <color theme="2" tint="-0.249977111117893"/>
      </colorScale>
    </cfRule>
  </conditionalFormatting>
  <pageMargins left="0.7" right="0.7" top="0.75" bottom="0.75" header="0.3" footer="0.3"/>
  <pageSetup paperSize="9" scale="1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CC"/>
  </sheetPr>
  <dimension ref="A1:AQ122"/>
  <sheetViews>
    <sheetView showGridLines="0" topLeftCell="E1" zoomScaleNormal="100" zoomScaleSheetLayoutView="90" workbookViewId="0">
      <pane ySplit="5" topLeftCell="A95" activePane="bottomLeft" state="frozen"/>
      <selection activeCell="C47" sqref="C47"/>
      <selection pane="bottomLeft" activeCell="C47" sqref="C47"/>
    </sheetView>
  </sheetViews>
  <sheetFormatPr defaultColWidth="8.5703125" defaultRowHeight="12" x14ac:dyDescent="0.2"/>
  <cols>
    <col min="1" max="1" width="36.42578125" style="116" customWidth="1"/>
    <col min="2" max="2" width="61.5703125" style="116" customWidth="1"/>
    <col min="3" max="3" width="3.42578125" style="116" customWidth="1"/>
    <col min="4" max="24" width="3.5703125" style="116" customWidth="1"/>
    <col min="25" max="25" width="4.42578125" style="116" customWidth="1"/>
    <col min="26" max="28" width="16.42578125" style="116" customWidth="1"/>
    <col min="29" max="29" width="18.140625" style="116" customWidth="1"/>
    <col min="30" max="30" width="9" style="116" customWidth="1"/>
    <col min="31" max="31" width="9.140625" style="116" customWidth="1"/>
    <col min="32" max="32" width="9" style="116" customWidth="1"/>
    <col min="33" max="33" width="14.85546875" style="117" customWidth="1"/>
    <col min="34" max="34" width="16.5703125" style="116" customWidth="1"/>
    <col min="35" max="35" width="11.5703125" style="116" bestFit="1" customWidth="1"/>
    <col min="36" max="36" width="10.5703125" style="116" customWidth="1"/>
    <col min="37" max="37" width="52.140625" style="116" customWidth="1"/>
    <col min="38" max="38" width="51.5703125" style="116" customWidth="1"/>
    <col min="39" max="42" width="8.5703125" style="116"/>
    <col min="43" max="43" width="18.85546875" style="116" customWidth="1"/>
    <col min="44" max="16384" width="8.5703125" style="116"/>
  </cols>
  <sheetData>
    <row r="1" spans="1:43" ht="26.1" customHeight="1" thickBot="1" x14ac:dyDescent="0.3">
      <c r="A1" s="1374" t="s">
        <v>195</v>
      </c>
      <c r="B1" s="1375"/>
      <c r="C1" s="1374" t="s">
        <v>677</v>
      </c>
      <c r="D1" s="1376"/>
      <c r="E1" s="1376"/>
      <c r="F1" s="1376"/>
      <c r="G1" s="1376"/>
      <c r="H1" s="1376"/>
      <c r="I1" s="1376"/>
      <c r="J1" s="1376"/>
      <c r="K1" s="1376"/>
      <c r="L1" s="1376"/>
      <c r="M1" s="1376"/>
      <c r="N1" s="1376"/>
      <c r="O1" s="1376"/>
      <c r="P1" s="1376"/>
      <c r="Q1" s="1376"/>
      <c r="R1" s="1376"/>
      <c r="S1" s="1376"/>
      <c r="T1" s="1376"/>
      <c r="U1" s="1376"/>
      <c r="V1" s="1376"/>
      <c r="W1" s="1376"/>
      <c r="X1" s="1376"/>
      <c r="Y1" s="1376"/>
      <c r="Z1" s="1376"/>
      <c r="AA1" s="1376"/>
      <c r="AB1" s="1376"/>
      <c r="AC1" s="1376"/>
      <c r="AD1" s="1376"/>
      <c r="AE1" s="1376"/>
      <c r="AF1" s="1376"/>
      <c r="AG1" s="1376"/>
      <c r="AH1" s="1376"/>
      <c r="AI1" s="1376"/>
      <c r="AJ1" s="1376"/>
      <c r="AK1" s="1376"/>
      <c r="AL1" s="1376"/>
      <c r="AM1" s="1376"/>
      <c r="AN1" s="1376"/>
      <c r="AO1" s="1376"/>
      <c r="AP1" s="1376"/>
      <c r="AQ1" s="1376"/>
    </row>
    <row r="2" spans="1:43" ht="12.75" thickBot="1" x14ac:dyDescent="0.25">
      <c r="A2" s="213"/>
      <c r="B2" s="212"/>
      <c r="C2" s="214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5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5"/>
      <c r="Z2" s="1382" t="s">
        <v>228</v>
      </c>
      <c r="AA2" s="1383"/>
      <c r="AB2" s="1383"/>
      <c r="AC2" s="1383"/>
      <c r="AD2" s="1383"/>
      <c r="AE2" s="1383"/>
      <c r="AF2" s="1383"/>
      <c r="AG2" s="1383"/>
      <c r="AH2" s="1383"/>
      <c r="AI2" s="1383"/>
      <c r="AJ2" s="1383"/>
      <c r="AK2" s="1384"/>
      <c r="AL2" s="1377" t="s">
        <v>227</v>
      </c>
      <c r="AM2" s="1378"/>
      <c r="AN2" s="1378"/>
      <c r="AO2" s="1378"/>
      <c r="AP2" s="1378"/>
      <c r="AQ2" s="1379"/>
    </row>
    <row r="3" spans="1:43" ht="11.1" customHeight="1" thickBot="1" x14ac:dyDescent="0.25">
      <c r="A3" s="242"/>
      <c r="B3" s="240"/>
      <c r="C3" s="241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39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39"/>
      <c r="Z3" s="1377" t="s">
        <v>281</v>
      </c>
      <c r="AA3" s="1378"/>
      <c r="AB3" s="1378"/>
      <c r="AC3" s="1378"/>
      <c r="AD3" s="1377" t="s">
        <v>282</v>
      </c>
      <c r="AE3" s="1378"/>
      <c r="AF3" s="1378"/>
      <c r="AG3" s="1378"/>
      <c r="AH3" s="1378"/>
      <c r="AI3" s="1378"/>
      <c r="AJ3" s="1378"/>
      <c r="AK3" s="1379"/>
      <c r="AL3" s="218"/>
      <c r="AM3" s="219"/>
      <c r="AN3" s="219"/>
      <c r="AO3" s="219"/>
      <c r="AP3" s="219"/>
      <c r="AQ3" s="210"/>
    </row>
    <row r="4" spans="1:43" ht="48" customHeight="1" x14ac:dyDescent="0.2">
      <c r="A4" s="242" t="s">
        <v>196</v>
      </c>
      <c r="B4" s="497" t="s">
        <v>293</v>
      </c>
      <c r="C4" s="241" t="s">
        <v>119</v>
      </c>
      <c r="D4" s="240" t="s">
        <v>120</v>
      </c>
      <c r="E4" s="240" t="s">
        <v>121</v>
      </c>
      <c r="F4" s="240" t="s">
        <v>122</v>
      </c>
      <c r="G4" s="240" t="s">
        <v>123</v>
      </c>
      <c r="H4" s="240" t="s">
        <v>124</v>
      </c>
      <c r="I4" s="240" t="s">
        <v>125</v>
      </c>
      <c r="J4" s="240" t="s">
        <v>126</v>
      </c>
      <c r="K4" s="240" t="s">
        <v>127</v>
      </c>
      <c r="L4" s="240" t="s">
        <v>128</v>
      </c>
      <c r="M4" s="240" t="s">
        <v>129</v>
      </c>
      <c r="N4" s="239" t="s">
        <v>130</v>
      </c>
      <c r="O4" s="240" t="s">
        <v>131</v>
      </c>
      <c r="P4" s="240" t="s">
        <v>132</v>
      </c>
      <c r="Q4" s="240" t="s">
        <v>133</v>
      </c>
      <c r="R4" s="240" t="s">
        <v>134</v>
      </c>
      <c r="S4" s="240" t="s">
        <v>135</v>
      </c>
      <c r="T4" s="240" t="s">
        <v>136</v>
      </c>
      <c r="U4" s="240" t="s">
        <v>137</v>
      </c>
      <c r="V4" s="240" t="s">
        <v>138</v>
      </c>
      <c r="W4" s="240" t="s">
        <v>139</v>
      </c>
      <c r="X4" s="240" t="s">
        <v>140</v>
      </c>
      <c r="Y4" s="239" t="s">
        <v>141</v>
      </c>
      <c r="Z4" s="214" t="s">
        <v>283</v>
      </c>
      <c r="AA4" s="212" t="s">
        <v>284</v>
      </c>
      <c r="AB4" s="212" t="s">
        <v>285</v>
      </c>
      <c r="AC4" s="212" t="s">
        <v>286</v>
      </c>
      <c r="AD4" s="216" t="s">
        <v>188</v>
      </c>
      <c r="AE4" s="217" t="s">
        <v>189</v>
      </c>
      <c r="AF4" s="217" t="s">
        <v>190</v>
      </c>
      <c r="AG4" s="210" t="s">
        <v>192</v>
      </c>
      <c r="AH4" s="210" t="s">
        <v>191</v>
      </c>
      <c r="AI4" s="210" t="s">
        <v>150</v>
      </c>
      <c r="AJ4" s="476" t="s">
        <v>194</v>
      </c>
      <c r="AK4" s="476" t="s">
        <v>197</v>
      </c>
      <c r="AL4" s="476" t="s">
        <v>226</v>
      </c>
      <c r="AM4" s="216" t="s">
        <v>188</v>
      </c>
      <c r="AN4" s="217" t="s">
        <v>189</v>
      </c>
      <c r="AO4" s="217" t="s">
        <v>190</v>
      </c>
      <c r="AP4" s="210" t="s">
        <v>192</v>
      </c>
      <c r="AQ4" s="1380" t="s">
        <v>225</v>
      </c>
    </row>
    <row r="5" spans="1:43" ht="8.25" customHeight="1" thickBot="1" x14ac:dyDescent="0.25">
      <c r="A5" s="118"/>
      <c r="B5" s="119"/>
      <c r="C5" s="120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21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21"/>
      <c r="Z5" s="120"/>
      <c r="AA5" s="119"/>
      <c r="AB5" s="119"/>
      <c r="AC5" s="119"/>
      <c r="AD5" s="218"/>
      <c r="AE5" s="219"/>
      <c r="AF5" s="219"/>
      <c r="AG5" s="221"/>
      <c r="AH5" s="221"/>
      <c r="AI5" s="221"/>
      <c r="AJ5" s="584"/>
      <c r="AK5" s="238"/>
      <c r="AL5" s="223"/>
      <c r="AM5" s="218"/>
      <c r="AN5" s="219"/>
      <c r="AO5" s="219"/>
      <c r="AP5" s="221"/>
      <c r="AQ5" s="1381"/>
    </row>
    <row r="6" spans="1:43" ht="24" x14ac:dyDescent="0.2">
      <c r="A6" s="591" t="s">
        <v>672</v>
      </c>
      <c r="B6" s="592" t="s">
        <v>375</v>
      </c>
      <c r="C6" s="593" t="s">
        <v>678</v>
      </c>
      <c r="D6" s="594" t="s">
        <v>678</v>
      </c>
      <c r="E6" s="594" t="s">
        <v>678</v>
      </c>
      <c r="F6" s="594" t="s">
        <v>678</v>
      </c>
      <c r="G6" s="594" t="s">
        <v>678</v>
      </c>
      <c r="H6" s="594" t="s">
        <v>678</v>
      </c>
      <c r="I6" s="594" t="s">
        <v>678</v>
      </c>
      <c r="J6" s="594" t="s">
        <v>678</v>
      </c>
      <c r="K6" s="594" t="s">
        <v>678</v>
      </c>
      <c r="L6" s="594" t="s">
        <v>678</v>
      </c>
      <c r="M6" s="594" t="s">
        <v>678</v>
      </c>
      <c r="N6" s="595" t="s">
        <v>678</v>
      </c>
      <c r="O6" s="594" t="s">
        <v>678</v>
      </c>
      <c r="P6" s="594" t="s">
        <v>678</v>
      </c>
      <c r="Q6" s="594" t="s">
        <v>678</v>
      </c>
      <c r="R6" s="594" t="s">
        <v>678</v>
      </c>
      <c r="S6" s="594" t="s">
        <v>678</v>
      </c>
      <c r="T6" s="594" t="s">
        <v>678</v>
      </c>
      <c r="U6" s="594" t="s">
        <v>678</v>
      </c>
      <c r="V6" s="594" t="s">
        <v>678</v>
      </c>
      <c r="W6" s="594" t="s">
        <v>678</v>
      </c>
      <c r="X6" s="594" t="s">
        <v>678</v>
      </c>
      <c r="Y6" s="594" t="s">
        <v>678</v>
      </c>
      <c r="Z6" s="879" t="s">
        <v>679</v>
      </c>
      <c r="AA6" s="880">
        <v>4</v>
      </c>
      <c r="AB6" s="880">
        <v>20000</v>
      </c>
      <c r="AC6" s="881">
        <v>120000</v>
      </c>
      <c r="AD6" s="599">
        <v>9115</v>
      </c>
      <c r="AE6" s="600">
        <v>9522</v>
      </c>
      <c r="AF6" s="882">
        <v>960</v>
      </c>
      <c r="AG6" s="883">
        <f t="shared" ref="AG6:AG118" si="0">AD6*AF6+AC6</f>
        <v>8870400</v>
      </c>
      <c r="AH6" s="883">
        <f t="shared" ref="AH6:AH118" si="1">AE6*AF6+AC6</f>
        <v>9261120</v>
      </c>
      <c r="AI6" s="883">
        <f t="shared" ref="AI6:AI118" si="2">AH6-AG6</f>
        <v>390720</v>
      </c>
      <c r="AJ6" s="884">
        <v>911000</v>
      </c>
      <c r="AK6" s="601"/>
      <c r="AL6" s="441"/>
      <c r="AM6" s="599"/>
      <c r="AN6" s="600"/>
      <c r="AO6" s="600"/>
      <c r="AP6" s="440">
        <f t="shared" ref="AP6:AP118" si="3">AM6*AO6</f>
        <v>0</v>
      </c>
      <c r="AQ6" s="601"/>
    </row>
    <row r="7" spans="1:43" x14ac:dyDescent="0.2">
      <c r="A7" s="602"/>
      <c r="B7" s="603" t="s">
        <v>414</v>
      </c>
      <c r="C7" s="593"/>
      <c r="D7" s="594"/>
      <c r="E7" s="594"/>
      <c r="F7" s="594"/>
      <c r="G7" s="594"/>
      <c r="H7" s="594"/>
      <c r="I7" s="594"/>
      <c r="J7" s="594"/>
      <c r="K7" s="594"/>
      <c r="L7" s="594"/>
      <c r="M7" s="594"/>
      <c r="N7" s="595"/>
      <c r="O7" s="594"/>
      <c r="P7" s="594"/>
      <c r="Q7" s="594"/>
      <c r="R7" s="594"/>
      <c r="S7" s="594"/>
      <c r="T7" s="594"/>
      <c r="U7" s="594"/>
      <c r="V7" s="594"/>
      <c r="W7" s="594"/>
      <c r="X7" s="594"/>
      <c r="Y7" s="595"/>
      <c r="Z7" s="604"/>
      <c r="AA7" s="605"/>
      <c r="AB7" s="605"/>
      <c r="AC7" s="606"/>
      <c r="AD7" s="607"/>
      <c r="AE7" s="608"/>
      <c r="AF7" s="608"/>
      <c r="AG7" s="440"/>
      <c r="AH7" s="440"/>
      <c r="AI7" s="440"/>
      <c r="AJ7" s="584"/>
      <c r="AK7" s="609"/>
      <c r="AL7" s="441"/>
      <c r="AM7" s="607"/>
      <c r="AN7" s="608"/>
      <c r="AO7" s="608"/>
      <c r="AP7" s="440"/>
      <c r="AQ7" s="609"/>
    </row>
    <row r="8" spans="1:43" x14ac:dyDescent="0.2">
      <c r="A8" s="602"/>
      <c r="B8" s="603" t="s">
        <v>376</v>
      </c>
      <c r="C8" s="593"/>
      <c r="D8" s="594"/>
      <c r="E8" s="594"/>
      <c r="F8" s="594"/>
      <c r="G8" s="594"/>
      <c r="H8" s="594"/>
      <c r="I8" s="594"/>
      <c r="J8" s="594"/>
      <c r="K8" s="594"/>
      <c r="L8" s="594"/>
      <c r="M8" s="594"/>
      <c r="N8" s="595"/>
      <c r="O8" s="594"/>
      <c r="P8" s="594"/>
      <c r="Q8" s="594"/>
      <c r="R8" s="594"/>
      <c r="S8" s="594"/>
      <c r="T8" s="594"/>
      <c r="U8" s="594"/>
      <c r="V8" s="594"/>
      <c r="W8" s="594"/>
      <c r="X8" s="594"/>
      <c r="Y8" s="595"/>
      <c r="Z8" s="604"/>
      <c r="AA8" s="605"/>
      <c r="AB8" s="605"/>
      <c r="AC8" s="606"/>
      <c r="AD8" s="607"/>
      <c r="AE8" s="608"/>
      <c r="AF8" s="608"/>
      <c r="AG8" s="440"/>
      <c r="AH8" s="440"/>
      <c r="AI8" s="440"/>
      <c r="AJ8" s="584"/>
      <c r="AK8" s="609"/>
      <c r="AL8" s="441"/>
      <c r="AM8" s="607"/>
      <c r="AN8" s="608"/>
      <c r="AO8" s="608"/>
      <c r="AP8" s="440"/>
      <c r="AQ8" s="609"/>
    </row>
    <row r="9" spans="1:43" x14ac:dyDescent="0.2">
      <c r="A9" s="602"/>
      <c r="B9" s="603" t="s">
        <v>417</v>
      </c>
      <c r="C9" s="593"/>
      <c r="D9" s="594"/>
      <c r="E9" s="594"/>
      <c r="F9" s="594"/>
      <c r="G9" s="594"/>
      <c r="H9" s="594"/>
      <c r="I9" s="594"/>
      <c r="J9" s="594"/>
      <c r="K9" s="594"/>
      <c r="L9" s="594"/>
      <c r="M9" s="594"/>
      <c r="N9" s="595"/>
      <c r="O9" s="594"/>
      <c r="P9" s="594"/>
      <c r="Q9" s="594"/>
      <c r="R9" s="594"/>
      <c r="S9" s="594"/>
      <c r="T9" s="594"/>
      <c r="U9" s="594"/>
      <c r="V9" s="594"/>
      <c r="W9" s="594"/>
      <c r="X9" s="594"/>
      <c r="Y9" s="595"/>
      <c r="Z9" s="604"/>
      <c r="AA9" s="605"/>
      <c r="AB9" s="605"/>
      <c r="AC9" s="606"/>
      <c r="AD9" s="607"/>
      <c r="AE9" s="608"/>
      <c r="AF9" s="608"/>
      <c r="AG9" s="440"/>
      <c r="AH9" s="440"/>
      <c r="AI9" s="440"/>
      <c r="AJ9" s="584"/>
      <c r="AK9" s="609"/>
      <c r="AL9" s="441"/>
      <c r="AM9" s="607"/>
      <c r="AN9" s="608"/>
      <c r="AO9" s="608"/>
      <c r="AP9" s="440"/>
      <c r="AQ9" s="609"/>
    </row>
    <row r="10" spans="1:43" ht="24" x14ac:dyDescent="0.2">
      <c r="A10" s="602"/>
      <c r="B10" s="603" t="s">
        <v>377</v>
      </c>
      <c r="C10" s="593"/>
      <c r="D10" s="594"/>
      <c r="E10" s="594"/>
      <c r="F10" s="594"/>
      <c r="G10" s="594"/>
      <c r="H10" s="594"/>
      <c r="I10" s="594"/>
      <c r="J10" s="594"/>
      <c r="K10" s="594"/>
      <c r="L10" s="594"/>
      <c r="M10" s="594"/>
      <c r="N10" s="595"/>
      <c r="O10" s="594"/>
      <c r="P10" s="594"/>
      <c r="Q10" s="594"/>
      <c r="R10" s="594"/>
      <c r="S10" s="594"/>
      <c r="T10" s="594"/>
      <c r="U10" s="594"/>
      <c r="V10" s="594"/>
      <c r="W10" s="594"/>
      <c r="X10" s="594"/>
      <c r="Y10" s="595"/>
      <c r="Z10" s="604"/>
      <c r="AA10" s="605"/>
      <c r="AB10" s="605"/>
      <c r="AC10" s="606"/>
      <c r="AD10" s="607"/>
      <c r="AE10" s="608"/>
      <c r="AF10" s="608"/>
      <c r="AG10" s="440"/>
      <c r="AH10" s="440"/>
      <c r="AI10" s="440"/>
      <c r="AJ10" s="584"/>
      <c r="AK10" s="609"/>
      <c r="AL10" s="441"/>
      <c r="AM10" s="607"/>
      <c r="AN10" s="608"/>
      <c r="AO10" s="608"/>
      <c r="AP10" s="440"/>
      <c r="AQ10" s="609"/>
    </row>
    <row r="11" spans="1:43" ht="48" x14ac:dyDescent="0.2">
      <c r="A11" s="602"/>
      <c r="B11" s="603" t="s">
        <v>415</v>
      </c>
      <c r="C11" s="593"/>
      <c r="D11" s="594"/>
      <c r="E11" s="594"/>
      <c r="F11" s="594"/>
      <c r="G11" s="594"/>
      <c r="H11" s="594"/>
      <c r="I11" s="594"/>
      <c r="J11" s="594"/>
      <c r="K11" s="594"/>
      <c r="L11" s="594"/>
      <c r="M11" s="594"/>
      <c r="N11" s="595"/>
      <c r="O11" s="594"/>
      <c r="P11" s="594"/>
      <c r="Q11" s="594"/>
      <c r="R11" s="594"/>
      <c r="S11" s="594"/>
      <c r="T11" s="594"/>
      <c r="U11" s="594"/>
      <c r="V11" s="594"/>
      <c r="W11" s="594"/>
      <c r="X11" s="594"/>
      <c r="Y11" s="595"/>
      <c r="Z11" s="604"/>
      <c r="AA11" s="605"/>
      <c r="AB11" s="605"/>
      <c r="AC11" s="606"/>
      <c r="AD11" s="607"/>
      <c r="AE11" s="608"/>
      <c r="AF11" s="608"/>
      <c r="AG11" s="440"/>
      <c r="AH11" s="440"/>
      <c r="AI11" s="440"/>
      <c r="AJ11" s="584"/>
      <c r="AK11" s="609"/>
      <c r="AL11" s="441"/>
      <c r="AM11" s="607"/>
      <c r="AN11" s="608"/>
      <c r="AO11" s="608"/>
      <c r="AP11" s="440"/>
      <c r="AQ11" s="609"/>
    </row>
    <row r="12" spans="1:43" x14ac:dyDescent="0.2">
      <c r="A12" s="602"/>
      <c r="B12" s="603" t="s">
        <v>416</v>
      </c>
      <c r="C12" s="593"/>
      <c r="D12" s="594"/>
      <c r="E12" s="594"/>
      <c r="F12" s="594"/>
      <c r="G12" s="594"/>
      <c r="H12" s="594"/>
      <c r="I12" s="594"/>
      <c r="J12" s="594"/>
      <c r="K12" s="594"/>
      <c r="L12" s="594"/>
      <c r="M12" s="594"/>
      <c r="N12" s="595"/>
      <c r="O12" s="594"/>
      <c r="P12" s="594"/>
      <c r="Q12" s="594"/>
      <c r="R12" s="594"/>
      <c r="S12" s="594"/>
      <c r="T12" s="594"/>
      <c r="U12" s="594"/>
      <c r="V12" s="594"/>
      <c r="W12" s="594"/>
      <c r="X12" s="594"/>
      <c r="Y12" s="595"/>
      <c r="Z12" s="604"/>
      <c r="AA12" s="605"/>
      <c r="AB12" s="605"/>
      <c r="AC12" s="606"/>
      <c r="AD12" s="607"/>
      <c r="AE12" s="608"/>
      <c r="AF12" s="608"/>
      <c r="AG12" s="440"/>
      <c r="AH12" s="440"/>
      <c r="AI12" s="440"/>
      <c r="AJ12" s="584"/>
      <c r="AK12" s="609"/>
      <c r="AL12" s="441"/>
      <c r="AM12" s="607"/>
      <c r="AN12" s="608"/>
      <c r="AO12" s="608"/>
      <c r="AP12" s="440"/>
      <c r="AQ12" s="609"/>
    </row>
    <row r="13" spans="1:43" x14ac:dyDescent="0.2">
      <c r="A13" s="602"/>
      <c r="B13" s="603" t="s">
        <v>371</v>
      </c>
      <c r="C13" s="593"/>
      <c r="D13" s="594"/>
      <c r="E13" s="594"/>
      <c r="F13" s="594"/>
      <c r="G13" s="594"/>
      <c r="H13" s="594"/>
      <c r="I13" s="594"/>
      <c r="J13" s="594"/>
      <c r="K13" s="594"/>
      <c r="L13" s="594"/>
      <c r="M13" s="594"/>
      <c r="N13" s="595"/>
      <c r="O13" s="594"/>
      <c r="P13" s="594"/>
      <c r="Q13" s="594"/>
      <c r="R13" s="594"/>
      <c r="S13" s="594"/>
      <c r="T13" s="594"/>
      <c r="U13" s="594"/>
      <c r="V13" s="594"/>
      <c r="W13" s="594"/>
      <c r="X13" s="594"/>
      <c r="Y13" s="595"/>
      <c r="Z13" s="604"/>
      <c r="AA13" s="605"/>
      <c r="AB13" s="605"/>
      <c r="AC13" s="606"/>
      <c r="AD13" s="607"/>
      <c r="AE13" s="608"/>
      <c r="AF13" s="608"/>
      <c r="AG13" s="440"/>
      <c r="AH13" s="440"/>
      <c r="AI13" s="440"/>
      <c r="AJ13" s="584"/>
      <c r="AK13" s="609"/>
      <c r="AL13" s="441"/>
      <c r="AM13" s="607"/>
      <c r="AN13" s="608"/>
      <c r="AO13" s="608"/>
      <c r="AP13" s="440"/>
      <c r="AQ13" s="609"/>
    </row>
    <row r="14" spans="1:43" x14ac:dyDescent="0.2">
      <c r="A14" s="602"/>
      <c r="B14" s="603" t="s">
        <v>378</v>
      </c>
      <c r="C14" s="593"/>
      <c r="D14" s="594"/>
      <c r="E14" s="594"/>
      <c r="F14" s="594"/>
      <c r="G14" s="594"/>
      <c r="H14" s="594"/>
      <c r="I14" s="594"/>
      <c r="J14" s="594"/>
      <c r="K14" s="594"/>
      <c r="L14" s="594"/>
      <c r="M14" s="594"/>
      <c r="N14" s="595"/>
      <c r="O14" s="594"/>
      <c r="P14" s="594"/>
      <c r="Q14" s="594"/>
      <c r="R14" s="594"/>
      <c r="S14" s="594"/>
      <c r="T14" s="594"/>
      <c r="U14" s="594"/>
      <c r="V14" s="594"/>
      <c r="W14" s="594"/>
      <c r="X14" s="594"/>
      <c r="Y14" s="595"/>
      <c r="Z14" s="604"/>
      <c r="AA14" s="605"/>
      <c r="AB14" s="605"/>
      <c r="AC14" s="606"/>
      <c r="AD14" s="607"/>
      <c r="AE14" s="608"/>
      <c r="AF14" s="608"/>
      <c r="AG14" s="440"/>
      <c r="AH14" s="440"/>
      <c r="AI14" s="440"/>
      <c r="AJ14" s="584"/>
      <c r="AK14" s="609"/>
      <c r="AL14" s="441"/>
      <c r="AM14" s="607"/>
      <c r="AN14" s="608"/>
      <c r="AO14" s="608"/>
      <c r="AP14" s="440"/>
      <c r="AQ14" s="609"/>
    </row>
    <row r="15" spans="1:43" ht="60" x14ac:dyDescent="0.2">
      <c r="A15" s="602"/>
      <c r="B15" s="603" t="s">
        <v>372</v>
      </c>
      <c r="C15" s="593"/>
      <c r="D15" s="594"/>
      <c r="E15" s="594"/>
      <c r="F15" s="594"/>
      <c r="G15" s="594"/>
      <c r="H15" s="594"/>
      <c r="I15" s="594"/>
      <c r="J15" s="594"/>
      <c r="K15" s="594"/>
      <c r="L15" s="594"/>
      <c r="M15" s="594"/>
      <c r="N15" s="595"/>
      <c r="O15" s="594"/>
      <c r="P15" s="594"/>
      <c r="Q15" s="594"/>
      <c r="R15" s="594"/>
      <c r="S15" s="594"/>
      <c r="T15" s="594"/>
      <c r="U15" s="594"/>
      <c r="V15" s="594"/>
      <c r="W15" s="594"/>
      <c r="X15" s="594"/>
      <c r="Y15" s="595"/>
      <c r="Z15" s="604"/>
      <c r="AA15" s="605"/>
      <c r="AB15" s="605"/>
      <c r="AC15" s="606"/>
      <c r="AD15" s="607"/>
      <c r="AE15" s="608"/>
      <c r="AF15" s="608"/>
      <c r="AG15" s="440"/>
      <c r="AH15" s="440"/>
      <c r="AI15" s="440"/>
      <c r="AJ15" s="584"/>
      <c r="AK15" s="609"/>
      <c r="AL15" s="441"/>
      <c r="AM15" s="607"/>
      <c r="AN15" s="608"/>
      <c r="AO15" s="608"/>
      <c r="AP15" s="440"/>
      <c r="AQ15" s="609"/>
    </row>
    <row r="16" spans="1:43" x14ac:dyDescent="0.2">
      <c r="A16" s="602"/>
      <c r="B16" s="603" t="s">
        <v>379</v>
      </c>
      <c r="C16" s="593"/>
      <c r="D16" s="594"/>
      <c r="E16" s="594"/>
      <c r="F16" s="594"/>
      <c r="G16" s="594"/>
      <c r="H16" s="594"/>
      <c r="I16" s="594"/>
      <c r="J16" s="594"/>
      <c r="K16" s="594"/>
      <c r="L16" s="594"/>
      <c r="M16" s="594"/>
      <c r="N16" s="595"/>
      <c r="O16" s="594"/>
      <c r="P16" s="594"/>
      <c r="Q16" s="594"/>
      <c r="R16" s="594"/>
      <c r="S16" s="594"/>
      <c r="T16" s="594"/>
      <c r="U16" s="594"/>
      <c r="V16" s="594"/>
      <c r="W16" s="594"/>
      <c r="X16" s="594"/>
      <c r="Y16" s="595"/>
      <c r="Z16" s="604"/>
      <c r="AA16" s="605"/>
      <c r="AB16" s="605"/>
      <c r="AC16" s="606"/>
      <c r="AD16" s="607"/>
      <c r="AE16" s="608"/>
      <c r="AF16" s="608"/>
      <c r="AG16" s="440"/>
      <c r="AH16" s="440"/>
      <c r="AI16" s="440"/>
      <c r="AJ16" s="584"/>
      <c r="AK16" s="609"/>
      <c r="AL16" s="441"/>
      <c r="AM16" s="607"/>
      <c r="AN16" s="608"/>
      <c r="AO16" s="608"/>
      <c r="AP16" s="440"/>
      <c r="AQ16" s="609"/>
    </row>
    <row r="17" spans="1:43" x14ac:dyDescent="0.2">
      <c r="A17" s="602"/>
      <c r="B17" s="603" t="s">
        <v>373</v>
      </c>
      <c r="C17" s="593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5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5"/>
      <c r="Z17" s="604"/>
      <c r="AA17" s="605"/>
      <c r="AB17" s="605"/>
      <c r="AC17" s="606"/>
      <c r="AD17" s="607"/>
      <c r="AE17" s="608"/>
      <c r="AF17" s="608"/>
      <c r="AG17" s="440"/>
      <c r="AH17" s="440"/>
      <c r="AI17" s="440"/>
      <c r="AJ17" s="584"/>
      <c r="AK17" s="609"/>
      <c r="AL17" s="441"/>
      <c r="AM17" s="607"/>
      <c r="AN17" s="608"/>
      <c r="AO17" s="608"/>
      <c r="AP17" s="440"/>
      <c r="AQ17" s="609"/>
    </row>
    <row r="18" spans="1:43" x14ac:dyDescent="0.2">
      <c r="A18" s="602"/>
      <c r="B18" s="603" t="s">
        <v>380</v>
      </c>
      <c r="C18" s="593"/>
      <c r="D18" s="594"/>
      <c r="E18" s="594"/>
      <c r="F18" s="594"/>
      <c r="G18" s="594"/>
      <c r="H18" s="594"/>
      <c r="I18" s="594"/>
      <c r="J18" s="594"/>
      <c r="K18" s="594"/>
      <c r="L18" s="594"/>
      <c r="M18" s="594"/>
      <c r="N18" s="595"/>
      <c r="O18" s="594"/>
      <c r="P18" s="594"/>
      <c r="Q18" s="594"/>
      <c r="R18" s="594"/>
      <c r="S18" s="594"/>
      <c r="T18" s="594"/>
      <c r="U18" s="594"/>
      <c r="V18" s="594"/>
      <c r="W18" s="594"/>
      <c r="X18" s="594"/>
      <c r="Y18" s="595"/>
      <c r="Z18" s="604"/>
      <c r="AA18" s="605"/>
      <c r="AB18" s="605"/>
      <c r="AC18" s="606"/>
      <c r="AD18" s="607"/>
      <c r="AE18" s="608"/>
      <c r="AF18" s="608"/>
      <c r="AG18" s="440"/>
      <c r="AH18" s="440"/>
      <c r="AI18" s="440"/>
      <c r="AJ18" s="584"/>
      <c r="AK18" s="609"/>
      <c r="AL18" s="441"/>
      <c r="AM18" s="607"/>
      <c r="AN18" s="608"/>
      <c r="AO18" s="608"/>
      <c r="AP18" s="440"/>
      <c r="AQ18" s="609"/>
    </row>
    <row r="19" spans="1:43" ht="36" x14ac:dyDescent="0.2">
      <c r="A19" s="602"/>
      <c r="B19" s="603" t="s">
        <v>374</v>
      </c>
      <c r="C19" s="593"/>
      <c r="D19" s="594"/>
      <c r="E19" s="594"/>
      <c r="F19" s="594"/>
      <c r="G19" s="594"/>
      <c r="H19" s="594"/>
      <c r="I19" s="594"/>
      <c r="J19" s="594"/>
      <c r="K19" s="594"/>
      <c r="L19" s="594"/>
      <c r="M19" s="594"/>
      <c r="N19" s="595"/>
      <c r="O19" s="594"/>
      <c r="P19" s="594"/>
      <c r="Q19" s="594"/>
      <c r="R19" s="594"/>
      <c r="S19" s="594"/>
      <c r="T19" s="594"/>
      <c r="U19" s="594"/>
      <c r="V19" s="594"/>
      <c r="W19" s="594"/>
      <c r="X19" s="594"/>
      <c r="Y19" s="595"/>
      <c r="Z19" s="604"/>
      <c r="AA19" s="605"/>
      <c r="AB19" s="605"/>
      <c r="AC19" s="606"/>
      <c r="AD19" s="607"/>
      <c r="AE19" s="608"/>
      <c r="AF19" s="608"/>
      <c r="AG19" s="440"/>
      <c r="AH19" s="440"/>
      <c r="AI19" s="440"/>
      <c r="AJ19" s="584"/>
      <c r="AK19" s="609"/>
      <c r="AL19" s="441"/>
      <c r="AM19" s="607"/>
      <c r="AN19" s="608"/>
      <c r="AO19" s="608"/>
      <c r="AP19" s="440"/>
      <c r="AQ19" s="609"/>
    </row>
    <row r="20" spans="1:43" x14ac:dyDescent="0.2">
      <c r="A20" s="602"/>
      <c r="B20" s="603" t="s">
        <v>381</v>
      </c>
      <c r="C20" s="593"/>
      <c r="D20" s="594"/>
      <c r="E20" s="594"/>
      <c r="F20" s="594"/>
      <c r="G20" s="594"/>
      <c r="H20" s="594"/>
      <c r="I20" s="594"/>
      <c r="J20" s="594"/>
      <c r="K20" s="594"/>
      <c r="L20" s="594"/>
      <c r="M20" s="594"/>
      <c r="N20" s="595"/>
      <c r="O20" s="594"/>
      <c r="P20" s="594"/>
      <c r="Q20" s="594"/>
      <c r="R20" s="594"/>
      <c r="S20" s="594"/>
      <c r="T20" s="594"/>
      <c r="U20" s="594"/>
      <c r="V20" s="594"/>
      <c r="W20" s="594"/>
      <c r="X20" s="594"/>
      <c r="Y20" s="595"/>
      <c r="Z20" s="604"/>
      <c r="AA20" s="605"/>
      <c r="AB20" s="605"/>
      <c r="AC20" s="606"/>
      <c r="AD20" s="607"/>
      <c r="AE20" s="608"/>
      <c r="AF20" s="608"/>
      <c r="AG20" s="440"/>
      <c r="AH20" s="440"/>
      <c r="AI20" s="440"/>
      <c r="AJ20" s="584"/>
      <c r="AK20" s="609"/>
      <c r="AL20" s="441"/>
      <c r="AM20" s="607"/>
      <c r="AN20" s="608"/>
      <c r="AO20" s="608"/>
      <c r="AP20" s="440"/>
      <c r="AQ20" s="609"/>
    </row>
    <row r="21" spans="1:43" x14ac:dyDescent="0.2">
      <c r="A21" s="602"/>
      <c r="B21" s="603" t="s">
        <v>382</v>
      </c>
      <c r="C21" s="593"/>
      <c r="D21" s="594"/>
      <c r="E21" s="594"/>
      <c r="F21" s="594"/>
      <c r="G21" s="594"/>
      <c r="H21" s="594"/>
      <c r="I21" s="594"/>
      <c r="J21" s="594"/>
      <c r="K21" s="594"/>
      <c r="L21" s="594"/>
      <c r="M21" s="594"/>
      <c r="N21" s="595"/>
      <c r="O21" s="594"/>
      <c r="P21" s="594"/>
      <c r="Q21" s="594"/>
      <c r="R21" s="594"/>
      <c r="S21" s="594"/>
      <c r="T21" s="594"/>
      <c r="U21" s="594"/>
      <c r="V21" s="594"/>
      <c r="W21" s="594"/>
      <c r="X21" s="594"/>
      <c r="Y21" s="595"/>
      <c r="Z21" s="604"/>
      <c r="AA21" s="605"/>
      <c r="AB21" s="605"/>
      <c r="AC21" s="606"/>
      <c r="AD21" s="607"/>
      <c r="AE21" s="608"/>
      <c r="AF21" s="608"/>
      <c r="AG21" s="440"/>
      <c r="AH21" s="440"/>
      <c r="AI21" s="440"/>
      <c r="AJ21" s="584"/>
      <c r="AK21" s="609"/>
      <c r="AL21" s="441"/>
      <c r="AM21" s="607"/>
      <c r="AN21" s="608"/>
      <c r="AO21" s="608"/>
      <c r="AP21" s="440"/>
      <c r="AQ21" s="609"/>
    </row>
    <row r="22" spans="1:43" ht="24" x14ac:dyDescent="0.2">
      <c r="A22" s="602"/>
      <c r="B22" s="603" t="s">
        <v>383</v>
      </c>
      <c r="C22" s="593"/>
      <c r="D22" s="594"/>
      <c r="E22" s="594"/>
      <c r="F22" s="594"/>
      <c r="G22" s="594"/>
      <c r="H22" s="594"/>
      <c r="I22" s="594"/>
      <c r="J22" s="594"/>
      <c r="K22" s="594"/>
      <c r="L22" s="594"/>
      <c r="M22" s="594"/>
      <c r="N22" s="595"/>
      <c r="O22" s="594"/>
      <c r="P22" s="594"/>
      <c r="Q22" s="594"/>
      <c r="R22" s="594"/>
      <c r="S22" s="594"/>
      <c r="T22" s="594"/>
      <c r="U22" s="594"/>
      <c r="V22" s="594"/>
      <c r="W22" s="594"/>
      <c r="X22" s="594"/>
      <c r="Y22" s="595"/>
      <c r="Z22" s="604"/>
      <c r="AA22" s="605"/>
      <c r="AB22" s="605"/>
      <c r="AC22" s="606"/>
      <c r="AD22" s="607"/>
      <c r="AE22" s="608"/>
      <c r="AF22" s="608"/>
      <c r="AG22" s="440"/>
      <c r="AH22" s="440"/>
      <c r="AI22" s="440"/>
      <c r="AJ22" s="584"/>
      <c r="AK22" s="609"/>
      <c r="AL22" s="441"/>
      <c r="AM22" s="607"/>
      <c r="AN22" s="608"/>
      <c r="AO22" s="608"/>
      <c r="AP22" s="440"/>
      <c r="AQ22" s="609"/>
    </row>
    <row r="23" spans="1:43" x14ac:dyDescent="0.2">
      <c r="A23" s="602"/>
      <c r="B23" s="603" t="s">
        <v>384</v>
      </c>
      <c r="C23" s="593"/>
      <c r="D23" s="594"/>
      <c r="E23" s="594"/>
      <c r="F23" s="594"/>
      <c r="G23" s="594"/>
      <c r="H23" s="594"/>
      <c r="I23" s="594"/>
      <c r="J23" s="594"/>
      <c r="K23" s="594"/>
      <c r="L23" s="594"/>
      <c r="M23" s="594"/>
      <c r="N23" s="595"/>
      <c r="O23" s="594"/>
      <c r="P23" s="594"/>
      <c r="Q23" s="594"/>
      <c r="R23" s="594"/>
      <c r="S23" s="594"/>
      <c r="T23" s="594"/>
      <c r="U23" s="594"/>
      <c r="V23" s="594"/>
      <c r="W23" s="594"/>
      <c r="X23" s="594"/>
      <c r="Y23" s="595"/>
      <c r="Z23" s="604"/>
      <c r="AA23" s="605"/>
      <c r="AB23" s="605"/>
      <c r="AC23" s="606"/>
      <c r="AD23" s="607"/>
      <c r="AE23" s="608"/>
      <c r="AF23" s="608"/>
      <c r="AG23" s="440"/>
      <c r="AH23" s="440"/>
      <c r="AI23" s="440"/>
      <c r="AJ23" s="584"/>
      <c r="AK23" s="609"/>
      <c r="AL23" s="441"/>
      <c r="AM23" s="607"/>
      <c r="AN23" s="608"/>
      <c r="AO23" s="608"/>
      <c r="AP23" s="440"/>
      <c r="AQ23" s="609"/>
    </row>
    <row r="24" spans="1:43" ht="48" x14ac:dyDescent="0.2">
      <c r="A24" s="602"/>
      <c r="B24" s="603" t="s">
        <v>418</v>
      </c>
      <c r="C24" s="593"/>
      <c r="D24" s="594"/>
      <c r="E24" s="594"/>
      <c r="F24" s="594"/>
      <c r="G24" s="594"/>
      <c r="H24" s="594"/>
      <c r="I24" s="594"/>
      <c r="J24" s="594"/>
      <c r="K24" s="594"/>
      <c r="L24" s="594"/>
      <c r="M24" s="594"/>
      <c r="N24" s="595"/>
      <c r="O24" s="594"/>
      <c r="P24" s="594"/>
      <c r="Q24" s="594"/>
      <c r="R24" s="594"/>
      <c r="S24" s="594"/>
      <c r="T24" s="594"/>
      <c r="U24" s="594"/>
      <c r="V24" s="594"/>
      <c r="W24" s="594"/>
      <c r="X24" s="594"/>
      <c r="Y24" s="595"/>
      <c r="Z24" s="604"/>
      <c r="AA24" s="605"/>
      <c r="AB24" s="605"/>
      <c r="AC24" s="606"/>
      <c r="AD24" s="607"/>
      <c r="AE24" s="608"/>
      <c r="AF24" s="608"/>
      <c r="AG24" s="440"/>
      <c r="AH24" s="440"/>
      <c r="AI24" s="440"/>
      <c r="AJ24" s="584"/>
      <c r="AK24" s="609"/>
      <c r="AL24" s="441"/>
      <c r="AM24" s="607"/>
      <c r="AN24" s="608"/>
      <c r="AO24" s="608"/>
      <c r="AP24" s="440"/>
      <c r="AQ24" s="609"/>
    </row>
    <row r="25" spans="1:43" x14ac:dyDescent="0.2">
      <c r="A25" s="602"/>
      <c r="B25" s="603" t="s">
        <v>385</v>
      </c>
      <c r="C25" s="593"/>
      <c r="D25" s="594"/>
      <c r="E25" s="594"/>
      <c r="F25" s="594"/>
      <c r="G25" s="594"/>
      <c r="H25" s="594"/>
      <c r="I25" s="594"/>
      <c r="J25" s="594"/>
      <c r="K25" s="594"/>
      <c r="L25" s="594"/>
      <c r="M25" s="594"/>
      <c r="N25" s="595"/>
      <c r="O25" s="594"/>
      <c r="P25" s="594"/>
      <c r="Q25" s="594"/>
      <c r="R25" s="594"/>
      <c r="S25" s="594"/>
      <c r="T25" s="594"/>
      <c r="U25" s="594"/>
      <c r="V25" s="594"/>
      <c r="W25" s="594"/>
      <c r="X25" s="594"/>
      <c r="Y25" s="595"/>
      <c r="Z25" s="604"/>
      <c r="AA25" s="605"/>
      <c r="AB25" s="605"/>
      <c r="AC25" s="606"/>
      <c r="AD25" s="607"/>
      <c r="AE25" s="608"/>
      <c r="AF25" s="608"/>
      <c r="AG25" s="440"/>
      <c r="AH25" s="440"/>
      <c r="AI25" s="440"/>
      <c r="AJ25" s="584"/>
      <c r="AK25" s="609"/>
      <c r="AL25" s="441"/>
      <c r="AM25" s="607"/>
      <c r="AN25" s="608"/>
      <c r="AO25" s="608"/>
      <c r="AP25" s="440"/>
      <c r="AQ25" s="609"/>
    </row>
    <row r="26" spans="1:43" ht="36" x14ac:dyDescent="0.2">
      <c r="A26" s="602"/>
      <c r="B26" s="603" t="s">
        <v>386</v>
      </c>
      <c r="C26" s="593"/>
      <c r="D26" s="594"/>
      <c r="E26" s="594"/>
      <c r="F26" s="594"/>
      <c r="G26" s="594"/>
      <c r="H26" s="594"/>
      <c r="I26" s="594"/>
      <c r="J26" s="594"/>
      <c r="K26" s="594"/>
      <c r="L26" s="594"/>
      <c r="M26" s="594"/>
      <c r="N26" s="595"/>
      <c r="O26" s="594"/>
      <c r="P26" s="594"/>
      <c r="Q26" s="594"/>
      <c r="R26" s="594"/>
      <c r="S26" s="594"/>
      <c r="T26" s="594"/>
      <c r="U26" s="594"/>
      <c r="V26" s="594"/>
      <c r="W26" s="594"/>
      <c r="X26" s="594"/>
      <c r="Y26" s="595"/>
      <c r="Z26" s="604"/>
      <c r="AA26" s="605"/>
      <c r="AB26" s="605"/>
      <c r="AC26" s="606"/>
      <c r="AD26" s="607"/>
      <c r="AE26" s="608"/>
      <c r="AF26" s="608"/>
      <c r="AG26" s="440"/>
      <c r="AH26" s="440"/>
      <c r="AI26" s="440"/>
      <c r="AJ26" s="584"/>
      <c r="AK26" s="609"/>
      <c r="AL26" s="441"/>
      <c r="AM26" s="607"/>
      <c r="AN26" s="608"/>
      <c r="AO26" s="608"/>
      <c r="AP26" s="440"/>
      <c r="AQ26" s="609"/>
    </row>
    <row r="27" spans="1:43" x14ac:dyDescent="0.2">
      <c r="A27" s="602"/>
      <c r="B27" s="603" t="s">
        <v>387</v>
      </c>
      <c r="C27" s="593"/>
      <c r="D27" s="594"/>
      <c r="E27" s="594"/>
      <c r="F27" s="594"/>
      <c r="G27" s="594"/>
      <c r="H27" s="594"/>
      <c r="I27" s="594"/>
      <c r="J27" s="594"/>
      <c r="K27" s="594"/>
      <c r="L27" s="594"/>
      <c r="M27" s="594"/>
      <c r="N27" s="595"/>
      <c r="O27" s="594"/>
      <c r="P27" s="594"/>
      <c r="Q27" s="594"/>
      <c r="R27" s="594"/>
      <c r="S27" s="594"/>
      <c r="T27" s="594"/>
      <c r="U27" s="594"/>
      <c r="V27" s="594"/>
      <c r="W27" s="594"/>
      <c r="X27" s="594"/>
      <c r="Y27" s="595"/>
      <c r="Z27" s="604"/>
      <c r="AA27" s="605"/>
      <c r="AB27" s="605"/>
      <c r="AC27" s="606"/>
      <c r="AD27" s="607"/>
      <c r="AE27" s="608"/>
      <c r="AF27" s="608"/>
      <c r="AG27" s="440"/>
      <c r="AH27" s="440"/>
      <c r="AI27" s="440"/>
      <c r="AJ27" s="584"/>
      <c r="AK27" s="609"/>
      <c r="AL27" s="441"/>
      <c r="AM27" s="607"/>
      <c r="AN27" s="608"/>
      <c r="AO27" s="608"/>
      <c r="AP27" s="440"/>
      <c r="AQ27" s="609"/>
    </row>
    <row r="28" spans="1:43" x14ac:dyDescent="0.2">
      <c r="A28" s="602"/>
      <c r="B28" s="603" t="s">
        <v>388</v>
      </c>
      <c r="C28" s="593"/>
      <c r="D28" s="594"/>
      <c r="E28" s="594"/>
      <c r="F28" s="594"/>
      <c r="G28" s="594"/>
      <c r="H28" s="594"/>
      <c r="I28" s="594"/>
      <c r="J28" s="594"/>
      <c r="K28" s="594"/>
      <c r="L28" s="594"/>
      <c r="M28" s="594"/>
      <c r="N28" s="595"/>
      <c r="O28" s="594"/>
      <c r="P28" s="594"/>
      <c r="Q28" s="594"/>
      <c r="R28" s="594"/>
      <c r="S28" s="594"/>
      <c r="T28" s="594"/>
      <c r="U28" s="594"/>
      <c r="V28" s="594"/>
      <c r="W28" s="594"/>
      <c r="X28" s="594"/>
      <c r="Y28" s="595"/>
      <c r="Z28" s="604"/>
      <c r="AA28" s="605"/>
      <c r="AB28" s="605"/>
      <c r="AC28" s="606"/>
      <c r="AD28" s="607"/>
      <c r="AE28" s="608"/>
      <c r="AF28" s="608"/>
      <c r="AG28" s="440"/>
      <c r="AH28" s="440"/>
      <c r="AI28" s="440"/>
      <c r="AJ28" s="584"/>
      <c r="AK28" s="609"/>
      <c r="AL28" s="441"/>
      <c r="AM28" s="607"/>
      <c r="AN28" s="608"/>
      <c r="AO28" s="608"/>
      <c r="AP28" s="440"/>
      <c r="AQ28" s="609"/>
    </row>
    <row r="29" spans="1:43" x14ac:dyDescent="0.2">
      <c r="A29" s="602"/>
      <c r="B29" s="603" t="s">
        <v>389</v>
      </c>
      <c r="C29" s="593"/>
      <c r="D29" s="594"/>
      <c r="E29" s="594"/>
      <c r="F29" s="594"/>
      <c r="G29" s="594"/>
      <c r="H29" s="594"/>
      <c r="I29" s="594"/>
      <c r="J29" s="594"/>
      <c r="K29" s="594"/>
      <c r="L29" s="594"/>
      <c r="M29" s="594"/>
      <c r="N29" s="595"/>
      <c r="O29" s="594"/>
      <c r="P29" s="594"/>
      <c r="Q29" s="594"/>
      <c r="R29" s="594"/>
      <c r="S29" s="594"/>
      <c r="T29" s="594"/>
      <c r="U29" s="594"/>
      <c r="V29" s="594"/>
      <c r="W29" s="594"/>
      <c r="X29" s="594"/>
      <c r="Y29" s="595"/>
      <c r="Z29" s="604"/>
      <c r="AA29" s="605"/>
      <c r="AB29" s="605"/>
      <c r="AC29" s="606"/>
      <c r="AD29" s="607"/>
      <c r="AE29" s="608"/>
      <c r="AF29" s="608"/>
      <c r="AG29" s="440"/>
      <c r="AH29" s="440"/>
      <c r="AI29" s="440"/>
      <c r="AJ29" s="584"/>
      <c r="AK29" s="609"/>
      <c r="AL29" s="441"/>
      <c r="AM29" s="607"/>
      <c r="AN29" s="608"/>
      <c r="AO29" s="608"/>
      <c r="AP29" s="440"/>
      <c r="AQ29" s="609"/>
    </row>
    <row r="30" spans="1:43" ht="36" x14ac:dyDescent="0.2">
      <c r="A30" s="602"/>
      <c r="B30" s="603" t="s">
        <v>463</v>
      </c>
      <c r="C30" s="593"/>
      <c r="D30" s="594"/>
      <c r="E30" s="594"/>
      <c r="F30" s="594"/>
      <c r="G30" s="594"/>
      <c r="H30" s="594"/>
      <c r="I30" s="594"/>
      <c r="J30" s="594"/>
      <c r="K30" s="594"/>
      <c r="L30" s="594"/>
      <c r="M30" s="594"/>
      <c r="N30" s="595"/>
      <c r="O30" s="594"/>
      <c r="P30" s="594"/>
      <c r="Q30" s="594"/>
      <c r="R30" s="594"/>
      <c r="S30" s="594"/>
      <c r="T30" s="594"/>
      <c r="U30" s="594"/>
      <c r="V30" s="594"/>
      <c r="W30" s="594"/>
      <c r="X30" s="594"/>
      <c r="Y30" s="595"/>
      <c r="Z30" s="604"/>
      <c r="AA30" s="605"/>
      <c r="AB30" s="605"/>
      <c r="AC30" s="606"/>
      <c r="AD30" s="607"/>
      <c r="AE30" s="608"/>
      <c r="AF30" s="608"/>
      <c r="AG30" s="440"/>
      <c r="AH30" s="440"/>
      <c r="AI30" s="440"/>
      <c r="AJ30" s="584"/>
      <c r="AK30" s="609"/>
      <c r="AL30" s="441"/>
      <c r="AM30" s="607"/>
      <c r="AN30" s="608"/>
      <c r="AO30" s="608"/>
      <c r="AP30" s="440"/>
      <c r="AQ30" s="609"/>
    </row>
    <row r="31" spans="1:43" ht="24" x14ac:dyDescent="0.2">
      <c r="A31" s="602"/>
      <c r="B31" s="603" t="s">
        <v>419</v>
      </c>
      <c r="C31" s="593"/>
      <c r="D31" s="594"/>
      <c r="E31" s="594"/>
      <c r="F31" s="594"/>
      <c r="G31" s="594"/>
      <c r="H31" s="594"/>
      <c r="I31" s="594"/>
      <c r="J31" s="594"/>
      <c r="K31" s="594"/>
      <c r="L31" s="594"/>
      <c r="M31" s="594"/>
      <c r="N31" s="595"/>
      <c r="O31" s="594"/>
      <c r="P31" s="594"/>
      <c r="Q31" s="594"/>
      <c r="R31" s="594"/>
      <c r="S31" s="594"/>
      <c r="T31" s="594"/>
      <c r="U31" s="594"/>
      <c r="V31" s="594"/>
      <c r="W31" s="594"/>
      <c r="X31" s="594"/>
      <c r="Y31" s="595"/>
      <c r="Z31" s="604"/>
      <c r="AA31" s="605"/>
      <c r="AB31" s="605"/>
      <c r="AC31" s="606"/>
      <c r="AD31" s="607"/>
      <c r="AE31" s="608"/>
      <c r="AF31" s="608"/>
      <c r="AG31" s="440"/>
      <c r="AH31" s="440"/>
      <c r="AI31" s="440"/>
      <c r="AJ31" s="584"/>
      <c r="AK31" s="609"/>
      <c r="AL31" s="441"/>
      <c r="AM31" s="607"/>
      <c r="AN31" s="608"/>
      <c r="AO31" s="608"/>
      <c r="AP31" s="440"/>
      <c r="AQ31" s="609"/>
    </row>
    <row r="32" spans="1:43" ht="24" x14ac:dyDescent="0.2">
      <c r="A32" s="602"/>
      <c r="B32" s="603" t="s">
        <v>464</v>
      </c>
      <c r="C32" s="593"/>
      <c r="D32" s="594"/>
      <c r="E32" s="594"/>
      <c r="F32" s="594"/>
      <c r="G32" s="594"/>
      <c r="H32" s="594"/>
      <c r="I32" s="594"/>
      <c r="J32" s="594"/>
      <c r="K32" s="594"/>
      <c r="L32" s="594"/>
      <c r="M32" s="594"/>
      <c r="N32" s="595"/>
      <c r="O32" s="594"/>
      <c r="P32" s="594"/>
      <c r="Q32" s="594"/>
      <c r="R32" s="594"/>
      <c r="S32" s="594"/>
      <c r="T32" s="594"/>
      <c r="U32" s="594"/>
      <c r="V32" s="594"/>
      <c r="W32" s="594"/>
      <c r="X32" s="594"/>
      <c r="Y32" s="595"/>
      <c r="Z32" s="604"/>
      <c r="AA32" s="605"/>
      <c r="AB32" s="605"/>
      <c r="AC32" s="606"/>
      <c r="AD32" s="607"/>
      <c r="AE32" s="608"/>
      <c r="AF32" s="608"/>
      <c r="AG32" s="440"/>
      <c r="AH32" s="440"/>
      <c r="AI32" s="440"/>
      <c r="AJ32" s="584"/>
      <c r="AK32" s="609"/>
      <c r="AL32" s="441"/>
      <c r="AM32" s="607"/>
      <c r="AN32" s="608"/>
      <c r="AO32" s="608"/>
      <c r="AP32" s="440"/>
      <c r="AQ32" s="609"/>
    </row>
    <row r="33" spans="1:43" ht="48" x14ac:dyDescent="0.2">
      <c r="A33" s="602"/>
      <c r="B33" s="603" t="s">
        <v>392</v>
      </c>
      <c r="C33" s="593"/>
      <c r="D33" s="594"/>
      <c r="E33" s="594"/>
      <c r="F33" s="594"/>
      <c r="G33" s="594"/>
      <c r="H33" s="594"/>
      <c r="I33" s="594"/>
      <c r="J33" s="594"/>
      <c r="K33" s="594"/>
      <c r="L33" s="594"/>
      <c r="M33" s="594"/>
      <c r="N33" s="595"/>
      <c r="O33" s="594"/>
      <c r="P33" s="594"/>
      <c r="Q33" s="594"/>
      <c r="R33" s="594"/>
      <c r="S33" s="594"/>
      <c r="T33" s="594"/>
      <c r="U33" s="594"/>
      <c r="V33" s="594"/>
      <c r="W33" s="594"/>
      <c r="X33" s="594"/>
      <c r="Y33" s="595"/>
      <c r="Z33" s="604"/>
      <c r="AA33" s="605"/>
      <c r="AB33" s="605"/>
      <c r="AC33" s="606"/>
      <c r="AD33" s="607"/>
      <c r="AE33" s="608"/>
      <c r="AF33" s="608"/>
      <c r="AG33" s="440"/>
      <c r="AH33" s="440"/>
      <c r="AI33" s="440"/>
      <c r="AJ33" s="584"/>
      <c r="AK33" s="609"/>
      <c r="AL33" s="441"/>
      <c r="AM33" s="607"/>
      <c r="AN33" s="608"/>
      <c r="AO33" s="608"/>
      <c r="AP33" s="440"/>
      <c r="AQ33" s="609"/>
    </row>
    <row r="34" spans="1:43" ht="24" x14ac:dyDescent="0.2">
      <c r="A34" s="602"/>
      <c r="B34" s="603" t="s">
        <v>465</v>
      </c>
      <c r="C34" s="593"/>
      <c r="D34" s="594"/>
      <c r="E34" s="594"/>
      <c r="F34" s="594"/>
      <c r="G34" s="594"/>
      <c r="H34" s="594"/>
      <c r="I34" s="594"/>
      <c r="J34" s="594"/>
      <c r="K34" s="594"/>
      <c r="L34" s="594"/>
      <c r="M34" s="594"/>
      <c r="N34" s="595"/>
      <c r="O34" s="594"/>
      <c r="P34" s="594"/>
      <c r="Q34" s="594"/>
      <c r="R34" s="594"/>
      <c r="S34" s="594"/>
      <c r="T34" s="594"/>
      <c r="U34" s="594"/>
      <c r="V34" s="594"/>
      <c r="W34" s="594"/>
      <c r="X34" s="594"/>
      <c r="Y34" s="595"/>
      <c r="Z34" s="604"/>
      <c r="AA34" s="605"/>
      <c r="AB34" s="605"/>
      <c r="AC34" s="606"/>
      <c r="AD34" s="607"/>
      <c r="AE34" s="608"/>
      <c r="AF34" s="608"/>
      <c r="AG34" s="440"/>
      <c r="AH34" s="440"/>
      <c r="AI34" s="440"/>
      <c r="AJ34" s="584"/>
      <c r="AK34" s="609"/>
      <c r="AL34" s="441"/>
      <c r="AM34" s="607"/>
      <c r="AN34" s="608"/>
      <c r="AO34" s="608"/>
      <c r="AP34" s="440"/>
      <c r="AQ34" s="609"/>
    </row>
    <row r="35" spans="1:43" ht="60" x14ac:dyDescent="0.2">
      <c r="A35" s="602"/>
      <c r="B35" s="603" t="s">
        <v>466</v>
      </c>
      <c r="C35" s="593"/>
      <c r="D35" s="594"/>
      <c r="E35" s="594"/>
      <c r="F35" s="594"/>
      <c r="G35" s="594"/>
      <c r="H35" s="594"/>
      <c r="I35" s="594"/>
      <c r="J35" s="594"/>
      <c r="K35" s="594"/>
      <c r="L35" s="594"/>
      <c r="M35" s="594"/>
      <c r="N35" s="595"/>
      <c r="O35" s="594"/>
      <c r="P35" s="594"/>
      <c r="Q35" s="594"/>
      <c r="R35" s="594"/>
      <c r="S35" s="594"/>
      <c r="T35" s="594"/>
      <c r="U35" s="594"/>
      <c r="V35" s="594"/>
      <c r="W35" s="594"/>
      <c r="X35" s="594"/>
      <c r="Y35" s="595"/>
      <c r="Z35" s="604"/>
      <c r="AA35" s="605"/>
      <c r="AB35" s="605"/>
      <c r="AC35" s="606"/>
      <c r="AD35" s="607"/>
      <c r="AE35" s="608"/>
      <c r="AF35" s="608"/>
      <c r="AG35" s="440"/>
      <c r="AH35" s="440"/>
      <c r="AI35" s="440"/>
      <c r="AJ35" s="584"/>
      <c r="AK35" s="609"/>
      <c r="AL35" s="441"/>
      <c r="AM35" s="607"/>
      <c r="AN35" s="608"/>
      <c r="AO35" s="608"/>
      <c r="AP35" s="440"/>
      <c r="AQ35" s="609"/>
    </row>
    <row r="36" spans="1:43" x14ac:dyDescent="0.2">
      <c r="A36" s="602"/>
      <c r="B36" s="603" t="s">
        <v>468</v>
      </c>
      <c r="C36" s="593"/>
      <c r="D36" s="594"/>
      <c r="E36" s="594"/>
      <c r="F36" s="594"/>
      <c r="G36" s="594"/>
      <c r="H36" s="594"/>
      <c r="I36" s="594"/>
      <c r="J36" s="594"/>
      <c r="K36" s="594"/>
      <c r="L36" s="594"/>
      <c r="M36" s="594"/>
      <c r="N36" s="595"/>
      <c r="O36" s="594"/>
      <c r="P36" s="594"/>
      <c r="Q36" s="594"/>
      <c r="R36" s="594"/>
      <c r="S36" s="594"/>
      <c r="T36" s="594"/>
      <c r="U36" s="594"/>
      <c r="V36" s="594"/>
      <c r="W36" s="594"/>
      <c r="X36" s="594"/>
      <c r="Y36" s="595"/>
      <c r="Z36" s="604"/>
      <c r="AA36" s="605"/>
      <c r="AB36" s="605"/>
      <c r="AC36" s="606"/>
      <c r="AD36" s="607"/>
      <c r="AE36" s="608"/>
      <c r="AF36" s="608"/>
      <c r="AG36" s="440"/>
      <c r="AH36" s="440"/>
      <c r="AI36" s="440"/>
      <c r="AJ36" s="584"/>
      <c r="AK36" s="609"/>
      <c r="AL36" s="441"/>
      <c r="AM36" s="607"/>
      <c r="AN36" s="608"/>
      <c r="AO36" s="608"/>
      <c r="AP36" s="440"/>
      <c r="AQ36" s="609"/>
    </row>
    <row r="37" spans="1:43" ht="36" x14ac:dyDescent="0.2">
      <c r="A37" s="602"/>
      <c r="B37" s="603" t="s">
        <v>467</v>
      </c>
      <c r="C37" s="593"/>
      <c r="D37" s="594"/>
      <c r="E37" s="594"/>
      <c r="F37" s="594"/>
      <c r="G37" s="594"/>
      <c r="H37" s="594"/>
      <c r="I37" s="594"/>
      <c r="J37" s="594"/>
      <c r="K37" s="594"/>
      <c r="L37" s="594"/>
      <c r="M37" s="594"/>
      <c r="N37" s="595"/>
      <c r="O37" s="594"/>
      <c r="P37" s="594"/>
      <c r="Q37" s="594"/>
      <c r="R37" s="594"/>
      <c r="S37" s="594"/>
      <c r="T37" s="594"/>
      <c r="U37" s="594"/>
      <c r="V37" s="594"/>
      <c r="W37" s="594"/>
      <c r="X37" s="594"/>
      <c r="Y37" s="595"/>
      <c r="Z37" s="604"/>
      <c r="AA37" s="605"/>
      <c r="AB37" s="605"/>
      <c r="AC37" s="606"/>
      <c r="AD37" s="607"/>
      <c r="AE37" s="608"/>
      <c r="AF37" s="608"/>
      <c r="AG37" s="440"/>
      <c r="AH37" s="440"/>
      <c r="AI37" s="440"/>
      <c r="AJ37" s="584"/>
      <c r="AK37" s="609"/>
      <c r="AL37" s="441"/>
      <c r="AM37" s="607"/>
      <c r="AN37" s="608"/>
      <c r="AO37" s="608"/>
      <c r="AP37" s="440"/>
      <c r="AQ37" s="609"/>
    </row>
    <row r="38" spans="1:43" x14ac:dyDescent="0.2">
      <c r="A38" s="602"/>
      <c r="B38" s="603" t="s">
        <v>393</v>
      </c>
      <c r="C38" s="593"/>
      <c r="D38" s="594"/>
      <c r="E38" s="594"/>
      <c r="F38" s="594"/>
      <c r="G38" s="594"/>
      <c r="H38" s="594"/>
      <c r="I38" s="594"/>
      <c r="J38" s="594"/>
      <c r="K38" s="594"/>
      <c r="L38" s="594"/>
      <c r="M38" s="594"/>
      <c r="N38" s="595"/>
      <c r="O38" s="594"/>
      <c r="P38" s="594"/>
      <c r="Q38" s="594"/>
      <c r="R38" s="594"/>
      <c r="S38" s="594"/>
      <c r="T38" s="594"/>
      <c r="U38" s="594"/>
      <c r="V38" s="594"/>
      <c r="W38" s="594"/>
      <c r="X38" s="594"/>
      <c r="Y38" s="595"/>
      <c r="Z38" s="604"/>
      <c r="AA38" s="605"/>
      <c r="AB38" s="605"/>
      <c r="AC38" s="606"/>
      <c r="AD38" s="607"/>
      <c r="AE38" s="608"/>
      <c r="AF38" s="608"/>
      <c r="AG38" s="440"/>
      <c r="AH38" s="440"/>
      <c r="AI38" s="440"/>
      <c r="AJ38" s="584"/>
      <c r="AK38" s="609"/>
      <c r="AL38" s="441"/>
      <c r="AM38" s="607"/>
      <c r="AN38" s="608"/>
      <c r="AO38" s="608"/>
      <c r="AP38" s="440"/>
      <c r="AQ38" s="609"/>
    </row>
    <row r="39" spans="1:43" x14ac:dyDescent="0.2">
      <c r="A39" s="602"/>
      <c r="B39" s="603" t="s">
        <v>420</v>
      </c>
      <c r="C39" s="593"/>
      <c r="D39" s="594"/>
      <c r="E39" s="594"/>
      <c r="F39" s="594"/>
      <c r="G39" s="594"/>
      <c r="H39" s="594"/>
      <c r="I39" s="594"/>
      <c r="J39" s="594"/>
      <c r="K39" s="594"/>
      <c r="L39" s="594"/>
      <c r="M39" s="594"/>
      <c r="N39" s="595"/>
      <c r="O39" s="594"/>
      <c r="P39" s="594"/>
      <c r="Q39" s="594"/>
      <c r="R39" s="594"/>
      <c r="S39" s="594"/>
      <c r="T39" s="594"/>
      <c r="U39" s="594"/>
      <c r="V39" s="594"/>
      <c r="W39" s="594"/>
      <c r="X39" s="594"/>
      <c r="Y39" s="595"/>
      <c r="Z39" s="604"/>
      <c r="AA39" s="605"/>
      <c r="AB39" s="605"/>
      <c r="AC39" s="606"/>
      <c r="AD39" s="607"/>
      <c r="AE39" s="608"/>
      <c r="AF39" s="608"/>
      <c r="AG39" s="440"/>
      <c r="AH39" s="440"/>
      <c r="AI39" s="440"/>
      <c r="AJ39" s="584"/>
      <c r="AK39" s="609"/>
      <c r="AL39" s="441"/>
      <c r="AM39" s="607"/>
      <c r="AN39" s="608"/>
      <c r="AO39" s="608"/>
      <c r="AP39" s="440"/>
      <c r="AQ39" s="609"/>
    </row>
    <row r="40" spans="1:43" x14ac:dyDescent="0.2">
      <c r="A40" s="602"/>
      <c r="B40" s="603" t="s">
        <v>394</v>
      </c>
      <c r="C40" s="593"/>
      <c r="D40" s="594"/>
      <c r="E40" s="594"/>
      <c r="F40" s="594"/>
      <c r="G40" s="594"/>
      <c r="H40" s="594"/>
      <c r="I40" s="594"/>
      <c r="J40" s="594"/>
      <c r="K40" s="594"/>
      <c r="L40" s="594"/>
      <c r="M40" s="594"/>
      <c r="N40" s="595"/>
      <c r="O40" s="594"/>
      <c r="P40" s="594"/>
      <c r="Q40" s="594"/>
      <c r="R40" s="594"/>
      <c r="S40" s="594"/>
      <c r="T40" s="594"/>
      <c r="U40" s="594"/>
      <c r="V40" s="594"/>
      <c r="W40" s="594"/>
      <c r="X40" s="594"/>
      <c r="Y40" s="595"/>
      <c r="Z40" s="604"/>
      <c r="AA40" s="605"/>
      <c r="AB40" s="605"/>
      <c r="AC40" s="606"/>
      <c r="AD40" s="607"/>
      <c r="AE40" s="608"/>
      <c r="AF40" s="608"/>
      <c r="AG40" s="440"/>
      <c r="AH40" s="440"/>
      <c r="AI40" s="440"/>
      <c r="AJ40" s="584"/>
      <c r="AK40" s="609"/>
      <c r="AL40" s="441"/>
      <c r="AM40" s="607"/>
      <c r="AN40" s="608"/>
      <c r="AO40" s="608"/>
      <c r="AP40" s="440"/>
      <c r="AQ40" s="609"/>
    </row>
    <row r="41" spans="1:43" x14ac:dyDescent="0.2">
      <c r="A41" s="602"/>
      <c r="B41" s="603" t="s">
        <v>421</v>
      </c>
      <c r="C41" s="593"/>
      <c r="D41" s="594"/>
      <c r="E41" s="594"/>
      <c r="F41" s="594"/>
      <c r="G41" s="594"/>
      <c r="H41" s="594"/>
      <c r="I41" s="594"/>
      <c r="J41" s="594"/>
      <c r="K41" s="594"/>
      <c r="L41" s="594"/>
      <c r="M41" s="594"/>
      <c r="N41" s="595"/>
      <c r="O41" s="594"/>
      <c r="P41" s="594"/>
      <c r="Q41" s="594"/>
      <c r="R41" s="594"/>
      <c r="S41" s="594"/>
      <c r="T41" s="594"/>
      <c r="U41" s="594"/>
      <c r="V41" s="594"/>
      <c r="W41" s="594"/>
      <c r="X41" s="594"/>
      <c r="Y41" s="595"/>
      <c r="Z41" s="604"/>
      <c r="AA41" s="605"/>
      <c r="AB41" s="605"/>
      <c r="AC41" s="606"/>
      <c r="AD41" s="607"/>
      <c r="AE41" s="608"/>
      <c r="AF41" s="608"/>
      <c r="AG41" s="440"/>
      <c r="AH41" s="440"/>
      <c r="AI41" s="440"/>
      <c r="AJ41" s="584"/>
      <c r="AK41" s="609"/>
      <c r="AL41" s="441"/>
      <c r="AM41" s="607"/>
      <c r="AN41" s="608"/>
      <c r="AO41" s="608"/>
      <c r="AP41" s="440"/>
      <c r="AQ41" s="609"/>
    </row>
    <row r="42" spans="1:43" x14ac:dyDescent="0.2">
      <c r="A42" s="602"/>
      <c r="B42" s="603" t="s">
        <v>394</v>
      </c>
      <c r="C42" s="593"/>
      <c r="D42" s="594"/>
      <c r="E42" s="594"/>
      <c r="F42" s="594"/>
      <c r="G42" s="594"/>
      <c r="H42" s="594"/>
      <c r="I42" s="594"/>
      <c r="J42" s="594"/>
      <c r="K42" s="594"/>
      <c r="L42" s="594"/>
      <c r="M42" s="594"/>
      <c r="N42" s="595"/>
      <c r="O42" s="594"/>
      <c r="P42" s="594"/>
      <c r="Q42" s="594"/>
      <c r="R42" s="594"/>
      <c r="S42" s="594"/>
      <c r="T42" s="594"/>
      <c r="U42" s="594"/>
      <c r="V42" s="594"/>
      <c r="W42" s="594"/>
      <c r="X42" s="594"/>
      <c r="Y42" s="595"/>
      <c r="Z42" s="604"/>
      <c r="AA42" s="605"/>
      <c r="AB42" s="605"/>
      <c r="AC42" s="606"/>
      <c r="AD42" s="607"/>
      <c r="AE42" s="608"/>
      <c r="AF42" s="608"/>
      <c r="AG42" s="440"/>
      <c r="AH42" s="440"/>
      <c r="AI42" s="440"/>
      <c r="AJ42" s="584"/>
      <c r="AK42" s="609"/>
      <c r="AL42" s="441"/>
      <c r="AM42" s="607"/>
      <c r="AN42" s="608"/>
      <c r="AO42" s="608"/>
      <c r="AP42" s="440"/>
      <c r="AQ42" s="609"/>
    </row>
    <row r="43" spans="1:43" x14ac:dyDescent="0.2">
      <c r="A43" s="602"/>
      <c r="B43" s="603" t="s">
        <v>422</v>
      </c>
      <c r="C43" s="593"/>
      <c r="D43" s="594"/>
      <c r="E43" s="594"/>
      <c r="F43" s="594"/>
      <c r="G43" s="594"/>
      <c r="H43" s="594"/>
      <c r="I43" s="594"/>
      <c r="J43" s="594"/>
      <c r="K43" s="594"/>
      <c r="L43" s="594"/>
      <c r="M43" s="594"/>
      <c r="N43" s="595"/>
      <c r="O43" s="594"/>
      <c r="P43" s="594"/>
      <c r="Q43" s="594"/>
      <c r="R43" s="594"/>
      <c r="S43" s="594"/>
      <c r="T43" s="594"/>
      <c r="U43" s="594"/>
      <c r="V43" s="594"/>
      <c r="W43" s="594"/>
      <c r="X43" s="594"/>
      <c r="Y43" s="595"/>
      <c r="Z43" s="604"/>
      <c r="AA43" s="605"/>
      <c r="AB43" s="605"/>
      <c r="AC43" s="606"/>
      <c r="AD43" s="607"/>
      <c r="AE43" s="608"/>
      <c r="AF43" s="608"/>
      <c r="AG43" s="440"/>
      <c r="AH43" s="440"/>
      <c r="AI43" s="440"/>
      <c r="AJ43" s="584"/>
      <c r="AK43" s="609"/>
      <c r="AL43" s="441"/>
      <c r="AM43" s="607"/>
      <c r="AN43" s="608"/>
      <c r="AO43" s="608"/>
      <c r="AP43" s="440"/>
      <c r="AQ43" s="609"/>
    </row>
    <row r="44" spans="1:43" x14ac:dyDescent="0.2">
      <c r="A44" s="602"/>
      <c r="B44" s="603" t="s">
        <v>394</v>
      </c>
      <c r="C44" s="593"/>
      <c r="D44" s="594"/>
      <c r="E44" s="594"/>
      <c r="F44" s="594"/>
      <c r="G44" s="594"/>
      <c r="H44" s="594"/>
      <c r="I44" s="594"/>
      <c r="J44" s="594"/>
      <c r="K44" s="594"/>
      <c r="L44" s="594"/>
      <c r="M44" s="594"/>
      <c r="N44" s="595"/>
      <c r="O44" s="594"/>
      <c r="P44" s="594"/>
      <c r="Q44" s="594"/>
      <c r="R44" s="594"/>
      <c r="S44" s="594"/>
      <c r="T44" s="594"/>
      <c r="U44" s="594"/>
      <c r="V44" s="594"/>
      <c r="W44" s="594"/>
      <c r="X44" s="594"/>
      <c r="Y44" s="595"/>
      <c r="Z44" s="604"/>
      <c r="AA44" s="605"/>
      <c r="AB44" s="605"/>
      <c r="AC44" s="606"/>
      <c r="AD44" s="607"/>
      <c r="AE44" s="608"/>
      <c r="AF44" s="608"/>
      <c r="AG44" s="440"/>
      <c r="AH44" s="440"/>
      <c r="AI44" s="440"/>
      <c r="AJ44" s="584"/>
      <c r="AK44" s="609"/>
      <c r="AL44" s="441"/>
      <c r="AM44" s="607"/>
      <c r="AN44" s="608"/>
      <c r="AO44" s="608"/>
      <c r="AP44" s="440"/>
      <c r="AQ44" s="609"/>
    </row>
    <row r="45" spans="1:43" x14ac:dyDescent="0.2">
      <c r="A45" s="602"/>
      <c r="B45" s="603" t="s">
        <v>395</v>
      </c>
      <c r="C45" s="593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5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5"/>
      <c r="Z45" s="604"/>
      <c r="AA45" s="605"/>
      <c r="AB45" s="605"/>
      <c r="AC45" s="606"/>
      <c r="AD45" s="607"/>
      <c r="AE45" s="608"/>
      <c r="AF45" s="608"/>
      <c r="AG45" s="440"/>
      <c r="AH45" s="440"/>
      <c r="AI45" s="440"/>
      <c r="AJ45" s="584"/>
      <c r="AK45" s="609"/>
      <c r="AL45" s="441"/>
      <c r="AM45" s="607"/>
      <c r="AN45" s="608"/>
      <c r="AO45" s="608"/>
      <c r="AP45" s="440"/>
      <c r="AQ45" s="609"/>
    </row>
    <row r="46" spans="1:43" x14ac:dyDescent="0.2">
      <c r="A46" s="602"/>
      <c r="B46" s="603" t="s">
        <v>396</v>
      </c>
      <c r="C46" s="593"/>
      <c r="D46" s="594"/>
      <c r="E46" s="594"/>
      <c r="F46" s="594"/>
      <c r="G46" s="594"/>
      <c r="H46" s="594"/>
      <c r="I46" s="594"/>
      <c r="J46" s="594"/>
      <c r="K46" s="594"/>
      <c r="L46" s="594"/>
      <c r="M46" s="594"/>
      <c r="N46" s="595"/>
      <c r="O46" s="594"/>
      <c r="P46" s="594"/>
      <c r="Q46" s="594"/>
      <c r="R46" s="594"/>
      <c r="S46" s="594"/>
      <c r="T46" s="594"/>
      <c r="U46" s="594"/>
      <c r="V46" s="594"/>
      <c r="W46" s="594"/>
      <c r="X46" s="594"/>
      <c r="Y46" s="595"/>
      <c r="Z46" s="604"/>
      <c r="AA46" s="605"/>
      <c r="AB46" s="605"/>
      <c r="AC46" s="606"/>
      <c r="AD46" s="607"/>
      <c r="AE46" s="608"/>
      <c r="AF46" s="608"/>
      <c r="AG46" s="440"/>
      <c r="AH46" s="440"/>
      <c r="AI46" s="440"/>
      <c r="AJ46" s="584"/>
      <c r="AK46" s="609"/>
      <c r="AL46" s="441"/>
      <c r="AM46" s="607"/>
      <c r="AN46" s="608"/>
      <c r="AO46" s="608"/>
      <c r="AP46" s="440"/>
      <c r="AQ46" s="609"/>
    </row>
    <row r="47" spans="1:43" x14ac:dyDescent="0.2">
      <c r="A47" s="602"/>
      <c r="B47" s="603" t="s">
        <v>394</v>
      </c>
      <c r="C47" s="593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5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5"/>
      <c r="Z47" s="604"/>
      <c r="AA47" s="605"/>
      <c r="AB47" s="605"/>
      <c r="AC47" s="606"/>
      <c r="AD47" s="607"/>
      <c r="AE47" s="608"/>
      <c r="AF47" s="608"/>
      <c r="AG47" s="440"/>
      <c r="AH47" s="440"/>
      <c r="AI47" s="440"/>
      <c r="AJ47" s="584"/>
      <c r="AK47" s="609"/>
      <c r="AL47" s="441"/>
      <c r="AM47" s="607"/>
      <c r="AN47" s="608"/>
      <c r="AO47" s="608"/>
      <c r="AP47" s="440"/>
      <c r="AQ47" s="609"/>
    </row>
    <row r="48" spans="1:43" x14ac:dyDescent="0.2">
      <c r="A48" s="602"/>
      <c r="B48" s="603" t="s">
        <v>397</v>
      </c>
      <c r="C48" s="593"/>
      <c r="D48" s="594"/>
      <c r="E48" s="594"/>
      <c r="F48" s="594"/>
      <c r="G48" s="594"/>
      <c r="H48" s="594"/>
      <c r="I48" s="594"/>
      <c r="J48" s="594"/>
      <c r="K48" s="594"/>
      <c r="L48" s="594"/>
      <c r="M48" s="594"/>
      <c r="N48" s="595"/>
      <c r="O48" s="594"/>
      <c r="P48" s="594"/>
      <c r="Q48" s="594"/>
      <c r="R48" s="594"/>
      <c r="S48" s="594"/>
      <c r="T48" s="594"/>
      <c r="U48" s="594"/>
      <c r="V48" s="594"/>
      <c r="W48" s="594"/>
      <c r="X48" s="594"/>
      <c r="Y48" s="595"/>
      <c r="Z48" s="604"/>
      <c r="AA48" s="605"/>
      <c r="AB48" s="605"/>
      <c r="AC48" s="606"/>
      <c r="AD48" s="607"/>
      <c r="AE48" s="608"/>
      <c r="AF48" s="608"/>
      <c r="AG48" s="440"/>
      <c r="AH48" s="440"/>
      <c r="AI48" s="440"/>
      <c r="AJ48" s="584"/>
      <c r="AK48" s="609"/>
      <c r="AL48" s="441"/>
      <c r="AM48" s="607"/>
      <c r="AN48" s="608"/>
      <c r="AO48" s="608"/>
      <c r="AP48" s="440"/>
      <c r="AQ48" s="609"/>
    </row>
    <row r="49" spans="1:43" x14ac:dyDescent="0.2">
      <c r="A49" s="602"/>
      <c r="B49" s="603" t="s">
        <v>394</v>
      </c>
      <c r="C49" s="593"/>
      <c r="D49" s="594"/>
      <c r="E49" s="594"/>
      <c r="F49" s="594"/>
      <c r="G49" s="594"/>
      <c r="H49" s="594"/>
      <c r="I49" s="594"/>
      <c r="J49" s="594"/>
      <c r="K49" s="594"/>
      <c r="L49" s="594"/>
      <c r="M49" s="594"/>
      <c r="N49" s="595"/>
      <c r="O49" s="594"/>
      <c r="P49" s="594"/>
      <c r="Q49" s="594"/>
      <c r="R49" s="594"/>
      <c r="S49" s="594"/>
      <c r="T49" s="594"/>
      <c r="U49" s="594"/>
      <c r="V49" s="594"/>
      <c r="W49" s="594"/>
      <c r="X49" s="594"/>
      <c r="Y49" s="595"/>
      <c r="Z49" s="604"/>
      <c r="AA49" s="605"/>
      <c r="AB49" s="605"/>
      <c r="AC49" s="606"/>
      <c r="AD49" s="607"/>
      <c r="AE49" s="608"/>
      <c r="AF49" s="608"/>
      <c r="AG49" s="440"/>
      <c r="AH49" s="440"/>
      <c r="AI49" s="440"/>
      <c r="AJ49" s="584"/>
      <c r="AK49" s="609"/>
      <c r="AL49" s="441"/>
      <c r="AM49" s="607"/>
      <c r="AN49" s="608"/>
      <c r="AO49" s="608"/>
      <c r="AP49" s="440"/>
      <c r="AQ49" s="609"/>
    </row>
    <row r="50" spans="1:43" x14ac:dyDescent="0.2">
      <c r="A50" s="602"/>
      <c r="B50" s="603" t="s">
        <v>423</v>
      </c>
      <c r="C50" s="593"/>
      <c r="D50" s="594"/>
      <c r="E50" s="594"/>
      <c r="F50" s="594"/>
      <c r="G50" s="594"/>
      <c r="H50" s="594"/>
      <c r="I50" s="594"/>
      <c r="J50" s="594"/>
      <c r="K50" s="594"/>
      <c r="L50" s="594"/>
      <c r="M50" s="594"/>
      <c r="N50" s="595"/>
      <c r="O50" s="594"/>
      <c r="P50" s="594"/>
      <c r="Q50" s="594"/>
      <c r="R50" s="594"/>
      <c r="S50" s="594"/>
      <c r="T50" s="594"/>
      <c r="U50" s="594"/>
      <c r="V50" s="594"/>
      <c r="W50" s="594"/>
      <c r="X50" s="594"/>
      <c r="Y50" s="595"/>
      <c r="Z50" s="604"/>
      <c r="AA50" s="605"/>
      <c r="AB50" s="605"/>
      <c r="AC50" s="606"/>
      <c r="AD50" s="607"/>
      <c r="AE50" s="608"/>
      <c r="AF50" s="608"/>
      <c r="AG50" s="440"/>
      <c r="AH50" s="440"/>
      <c r="AI50" s="440"/>
      <c r="AJ50" s="584"/>
      <c r="AK50" s="609"/>
      <c r="AL50" s="441"/>
      <c r="AM50" s="607"/>
      <c r="AN50" s="608"/>
      <c r="AO50" s="608"/>
      <c r="AP50" s="440"/>
      <c r="AQ50" s="609"/>
    </row>
    <row r="51" spans="1:43" x14ac:dyDescent="0.2">
      <c r="A51" s="602"/>
      <c r="B51" s="603" t="s">
        <v>394</v>
      </c>
      <c r="C51" s="593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5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5"/>
      <c r="Z51" s="604"/>
      <c r="AA51" s="605"/>
      <c r="AB51" s="605"/>
      <c r="AC51" s="606"/>
      <c r="AD51" s="607"/>
      <c r="AE51" s="608"/>
      <c r="AF51" s="608"/>
      <c r="AG51" s="440"/>
      <c r="AH51" s="440"/>
      <c r="AI51" s="440"/>
      <c r="AJ51" s="584"/>
      <c r="AK51" s="609"/>
      <c r="AL51" s="441"/>
      <c r="AM51" s="607"/>
      <c r="AN51" s="608"/>
      <c r="AO51" s="608"/>
      <c r="AP51" s="440"/>
      <c r="AQ51" s="609"/>
    </row>
    <row r="52" spans="1:43" x14ac:dyDescent="0.2">
      <c r="A52" s="602"/>
      <c r="B52" s="603" t="s">
        <v>398</v>
      </c>
      <c r="C52" s="593"/>
      <c r="D52" s="594"/>
      <c r="E52" s="594"/>
      <c r="F52" s="594"/>
      <c r="G52" s="594"/>
      <c r="H52" s="594"/>
      <c r="I52" s="594"/>
      <c r="J52" s="594"/>
      <c r="K52" s="594"/>
      <c r="L52" s="594"/>
      <c r="M52" s="594"/>
      <c r="N52" s="595"/>
      <c r="O52" s="594"/>
      <c r="P52" s="594"/>
      <c r="Q52" s="594"/>
      <c r="R52" s="594"/>
      <c r="S52" s="594"/>
      <c r="T52" s="594"/>
      <c r="U52" s="594"/>
      <c r="V52" s="594"/>
      <c r="W52" s="594"/>
      <c r="X52" s="594"/>
      <c r="Y52" s="595"/>
      <c r="Z52" s="604"/>
      <c r="AA52" s="605"/>
      <c r="AB52" s="605"/>
      <c r="AC52" s="606"/>
      <c r="AD52" s="607"/>
      <c r="AE52" s="608"/>
      <c r="AF52" s="608"/>
      <c r="AG52" s="440"/>
      <c r="AH52" s="440"/>
      <c r="AI52" s="440"/>
      <c r="AJ52" s="584"/>
      <c r="AK52" s="609"/>
      <c r="AL52" s="441"/>
      <c r="AM52" s="607"/>
      <c r="AN52" s="608"/>
      <c r="AO52" s="608"/>
      <c r="AP52" s="440"/>
      <c r="AQ52" s="609"/>
    </row>
    <row r="53" spans="1:43" x14ac:dyDescent="0.2">
      <c r="A53" s="602"/>
      <c r="B53" s="603" t="s">
        <v>399</v>
      </c>
      <c r="C53" s="593"/>
      <c r="D53" s="594"/>
      <c r="E53" s="594"/>
      <c r="F53" s="594"/>
      <c r="G53" s="594"/>
      <c r="H53" s="594"/>
      <c r="I53" s="594"/>
      <c r="J53" s="594"/>
      <c r="K53" s="594"/>
      <c r="L53" s="594"/>
      <c r="M53" s="594"/>
      <c r="N53" s="595"/>
      <c r="O53" s="594"/>
      <c r="P53" s="594"/>
      <c r="Q53" s="594"/>
      <c r="R53" s="594"/>
      <c r="S53" s="594"/>
      <c r="T53" s="594"/>
      <c r="U53" s="594"/>
      <c r="V53" s="594"/>
      <c r="W53" s="594"/>
      <c r="X53" s="594"/>
      <c r="Y53" s="595"/>
      <c r="Z53" s="604"/>
      <c r="AA53" s="605"/>
      <c r="AB53" s="605"/>
      <c r="AC53" s="606"/>
      <c r="AD53" s="607"/>
      <c r="AE53" s="608"/>
      <c r="AF53" s="608"/>
      <c r="AG53" s="440"/>
      <c r="AH53" s="440"/>
      <c r="AI53" s="440"/>
      <c r="AJ53" s="584"/>
      <c r="AK53" s="609"/>
      <c r="AL53" s="441"/>
      <c r="AM53" s="607"/>
      <c r="AN53" s="608"/>
      <c r="AO53" s="608"/>
      <c r="AP53" s="440"/>
      <c r="AQ53" s="609"/>
    </row>
    <row r="54" spans="1:43" x14ac:dyDescent="0.2">
      <c r="A54" s="602"/>
      <c r="B54" s="603" t="s">
        <v>400</v>
      </c>
      <c r="C54" s="593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5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5"/>
      <c r="Z54" s="604"/>
      <c r="AA54" s="605"/>
      <c r="AB54" s="605"/>
      <c r="AC54" s="606"/>
      <c r="AD54" s="607"/>
      <c r="AE54" s="608"/>
      <c r="AF54" s="608"/>
      <c r="AG54" s="440"/>
      <c r="AH54" s="440"/>
      <c r="AI54" s="440"/>
      <c r="AJ54" s="584"/>
      <c r="AK54" s="609"/>
      <c r="AL54" s="441"/>
      <c r="AM54" s="607"/>
      <c r="AN54" s="608"/>
      <c r="AO54" s="608"/>
      <c r="AP54" s="440"/>
      <c r="AQ54" s="609"/>
    </row>
    <row r="55" spans="1:43" x14ac:dyDescent="0.2">
      <c r="A55" s="602"/>
      <c r="B55" s="603" t="s">
        <v>401</v>
      </c>
      <c r="C55" s="593"/>
      <c r="D55" s="594"/>
      <c r="E55" s="594"/>
      <c r="F55" s="594"/>
      <c r="G55" s="594"/>
      <c r="H55" s="594"/>
      <c r="I55" s="594"/>
      <c r="J55" s="594"/>
      <c r="K55" s="594"/>
      <c r="L55" s="594"/>
      <c r="M55" s="594"/>
      <c r="N55" s="595"/>
      <c r="O55" s="594"/>
      <c r="P55" s="594"/>
      <c r="Q55" s="594"/>
      <c r="R55" s="594"/>
      <c r="S55" s="594"/>
      <c r="T55" s="594"/>
      <c r="U55" s="594"/>
      <c r="V55" s="594"/>
      <c r="W55" s="594"/>
      <c r="X55" s="594"/>
      <c r="Y55" s="595"/>
      <c r="Z55" s="604"/>
      <c r="AA55" s="605"/>
      <c r="AB55" s="605"/>
      <c r="AC55" s="606"/>
      <c r="AD55" s="607"/>
      <c r="AE55" s="608"/>
      <c r="AF55" s="608"/>
      <c r="AG55" s="440"/>
      <c r="AH55" s="440"/>
      <c r="AI55" s="440"/>
      <c r="AJ55" s="584"/>
      <c r="AK55" s="609"/>
      <c r="AL55" s="441"/>
      <c r="AM55" s="607"/>
      <c r="AN55" s="608"/>
      <c r="AO55" s="608"/>
      <c r="AP55" s="440"/>
      <c r="AQ55" s="609"/>
    </row>
    <row r="56" spans="1:43" ht="24" x14ac:dyDescent="0.2">
      <c r="A56" s="602"/>
      <c r="B56" s="603" t="s">
        <v>402</v>
      </c>
      <c r="C56" s="593"/>
      <c r="D56" s="594"/>
      <c r="E56" s="594"/>
      <c r="F56" s="594"/>
      <c r="G56" s="594"/>
      <c r="H56" s="594"/>
      <c r="I56" s="594"/>
      <c r="J56" s="594"/>
      <c r="K56" s="594"/>
      <c r="L56" s="594"/>
      <c r="M56" s="594"/>
      <c r="N56" s="595"/>
      <c r="O56" s="594"/>
      <c r="P56" s="594"/>
      <c r="Q56" s="594"/>
      <c r="R56" s="594"/>
      <c r="S56" s="594"/>
      <c r="T56" s="594"/>
      <c r="U56" s="594"/>
      <c r="V56" s="594"/>
      <c r="W56" s="594"/>
      <c r="X56" s="594"/>
      <c r="Y56" s="595"/>
      <c r="Z56" s="604"/>
      <c r="AA56" s="605"/>
      <c r="AB56" s="605"/>
      <c r="AC56" s="606"/>
      <c r="AD56" s="607"/>
      <c r="AE56" s="608"/>
      <c r="AF56" s="608"/>
      <c r="AG56" s="440"/>
      <c r="AH56" s="440"/>
      <c r="AI56" s="440"/>
      <c r="AJ56" s="584"/>
      <c r="AK56" s="609"/>
      <c r="AL56" s="441"/>
      <c r="AM56" s="607"/>
      <c r="AN56" s="608"/>
      <c r="AO56" s="608"/>
      <c r="AP56" s="440"/>
      <c r="AQ56" s="609"/>
    </row>
    <row r="57" spans="1:43" x14ac:dyDescent="0.2">
      <c r="A57" s="602"/>
      <c r="B57" s="603" t="s">
        <v>403</v>
      </c>
      <c r="C57" s="593"/>
      <c r="D57" s="594"/>
      <c r="E57" s="594"/>
      <c r="F57" s="594"/>
      <c r="G57" s="594"/>
      <c r="H57" s="594"/>
      <c r="I57" s="594"/>
      <c r="J57" s="594"/>
      <c r="K57" s="594"/>
      <c r="L57" s="594"/>
      <c r="M57" s="594"/>
      <c r="N57" s="595"/>
      <c r="O57" s="594"/>
      <c r="P57" s="594"/>
      <c r="Q57" s="594"/>
      <c r="R57" s="594"/>
      <c r="S57" s="594"/>
      <c r="T57" s="594"/>
      <c r="U57" s="594"/>
      <c r="V57" s="594"/>
      <c r="W57" s="594"/>
      <c r="X57" s="594"/>
      <c r="Y57" s="595"/>
      <c r="Z57" s="604"/>
      <c r="AA57" s="605"/>
      <c r="AB57" s="605"/>
      <c r="AC57" s="606"/>
      <c r="AD57" s="607"/>
      <c r="AE57" s="608"/>
      <c r="AF57" s="608"/>
      <c r="AG57" s="440"/>
      <c r="AH57" s="440"/>
      <c r="AI57" s="440"/>
      <c r="AJ57" s="584"/>
      <c r="AK57" s="609"/>
      <c r="AL57" s="441"/>
      <c r="AM57" s="607"/>
      <c r="AN57" s="608"/>
      <c r="AO57" s="608"/>
      <c r="AP57" s="440"/>
      <c r="AQ57" s="609"/>
    </row>
    <row r="58" spans="1:43" ht="24" x14ac:dyDescent="0.2">
      <c r="A58" s="602"/>
      <c r="B58" s="603" t="s">
        <v>404</v>
      </c>
      <c r="C58" s="593"/>
      <c r="D58" s="594"/>
      <c r="E58" s="594"/>
      <c r="F58" s="594"/>
      <c r="G58" s="594"/>
      <c r="H58" s="594"/>
      <c r="I58" s="594"/>
      <c r="J58" s="594"/>
      <c r="K58" s="594"/>
      <c r="L58" s="594"/>
      <c r="M58" s="594"/>
      <c r="N58" s="595"/>
      <c r="O58" s="594"/>
      <c r="P58" s="594"/>
      <c r="Q58" s="594"/>
      <c r="R58" s="594"/>
      <c r="S58" s="594"/>
      <c r="T58" s="594"/>
      <c r="U58" s="594"/>
      <c r="V58" s="594"/>
      <c r="W58" s="594"/>
      <c r="X58" s="594"/>
      <c r="Y58" s="595"/>
      <c r="Z58" s="604"/>
      <c r="AA58" s="605"/>
      <c r="AB58" s="605"/>
      <c r="AC58" s="606"/>
      <c r="AD58" s="607"/>
      <c r="AE58" s="608"/>
      <c r="AF58" s="608"/>
      <c r="AG58" s="440"/>
      <c r="AH58" s="440"/>
      <c r="AI58" s="440"/>
      <c r="AJ58" s="584"/>
      <c r="AK58" s="609"/>
      <c r="AL58" s="441"/>
      <c r="AM58" s="607"/>
      <c r="AN58" s="608"/>
      <c r="AO58" s="608"/>
      <c r="AP58" s="440"/>
      <c r="AQ58" s="609"/>
    </row>
    <row r="59" spans="1:43" ht="24" x14ac:dyDescent="0.2">
      <c r="A59" s="602"/>
      <c r="B59" s="603" t="s">
        <v>424</v>
      </c>
      <c r="C59" s="593"/>
      <c r="D59" s="594"/>
      <c r="E59" s="594"/>
      <c r="F59" s="594"/>
      <c r="G59" s="594"/>
      <c r="H59" s="594"/>
      <c r="I59" s="594"/>
      <c r="J59" s="594"/>
      <c r="K59" s="594"/>
      <c r="L59" s="594"/>
      <c r="M59" s="594"/>
      <c r="N59" s="595"/>
      <c r="O59" s="594"/>
      <c r="P59" s="594"/>
      <c r="Q59" s="594"/>
      <c r="R59" s="594"/>
      <c r="S59" s="594"/>
      <c r="T59" s="594"/>
      <c r="U59" s="594"/>
      <c r="V59" s="594"/>
      <c r="W59" s="594"/>
      <c r="X59" s="594"/>
      <c r="Y59" s="595"/>
      <c r="Z59" s="604"/>
      <c r="AA59" s="605"/>
      <c r="AB59" s="605"/>
      <c r="AC59" s="606"/>
      <c r="AD59" s="607"/>
      <c r="AE59" s="608"/>
      <c r="AF59" s="608"/>
      <c r="AG59" s="440"/>
      <c r="AH59" s="440"/>
      <c r="AI59" s="440"/>
      <c r="AJ59" s="584"/>
      <c r="AK59" s="609"/>
      <c r="AL59" s="441"/>
      <c r="AM59" s="607"/>
      <c r="AN59" s="608"/>
      <c r="AO59" s="608"/>
      <c r="AP59" s="440"/>
      <c r="AQ59" s="609"/>
    </row>
    <row r="60" spans="1:43" x14ac:dyDescent="0.2">
      <c r="A60" s="602"/>
      <c r="B60" s="603" t="s">
        <v>407</v>
      </c>
      <c r="C60" s="593"/>
      <c r="D60" s="594"/>
      <c r="E60" s="594"/>
      <c r="F60" s="594"/>
      <c r="G60" s="594"/>
      <c r="H60" s="594"/>
      <c r="I60" s="594"/>
      <c r="J60" s="594"/>
      <c r="K60" s="594"/>
      <c r="L60" s="594"/>
      <c r="M60" s="594"/>
      <c r="N60" s="595"/>
      <c r="O60" s="594"/>
      <c r="P60" s="594"/>
      <c r="Q60" s="594"/>
      <c r="R60" s="594"/>
      <c r="S60" s="594"/>
      <c r="T60" s="594"/>
      <c r="U60" s="594"/>
      <c r="V60" s="594"/>
      <c r="W60" s="594"/>
      <c r="X60" s="594"/>
      <c r="Y60" s="595"/>
      <c r="Z60" s="604"/>
      <c r="AA60" s="605"/>
      <c r="AB60" s="605"/>
      <c r="AC60" s="606"/>
      <c r="AD60" s="607"/>
      <c r="AE60" s="608"/>
      <c r="AF60" s="608"/>
      <c r="AG60" s="440"/>
      <c r="AH60" s="440"/>
      <c r="AI60" s="440"/>
      <c r="AJ60" s="584"/>
      <c r="AK60" s="609"/>
      <c r="AL60" s="441"/>
      <c r="AM60" s="607"/>
      <c r="AN60" s="608"/>
      <c r="AO60" s="608"/>
      <c r="AP60" s="440"/>
      <c r="AQ60" s="609"/>
    </row>
    <row r="61" spans="1:43" x14ac:dyDescent="0.2">
      <c r="A61" s="602"/>
      <c r="B61" s="603" t="s">
        <v>408</v>
      </c>
      <c r="C61" s="593"/>
      <c r="D61" s="594"/>
      <c r="E61" s="594"/>
      <c r="F61" s="594"/>
      <c r="G61" s="594"/>
      <c r="H61" s="594"/>
      <c r="I61" s="594"/>
      <c r="J61" s="594"/>
      <c r="K61" s="594"/>
      <c r="L61" s="594"/>
      <c r="M61" s="594"/>
      <c r="N61" s="595"/>
      <c r="O61" s="594"/>
      <c r="P61" s="594"/>
      <c r="Q61" s="594"/>
      <c r="R61" s="594"/>
      <c r="S61" s="594"/>
      <c r="T61" s="594"/>
      <c r="U61" s="594"/>
      <c r="V61" s="594"/>
      <c r="W61" s="594"/>
      <c r="X61" s="594"/>
      <c r="Y61" s="595"/>
      <c r="Z61" s="604"/>
      <c r="AA61" s="605"/>
      <c r="AB61" s="605"/>
      <c r="AC61" s="606"/>
      <c r="AD61" s="607"/>
      <c r="AE61" s="608"/>
      <c r="AF61" s="608"/>
      <c r="AG61" s="440"/>
      <c r="AH61" s="440"/>
      <c r="AI61" s="440"/>
      <c r="AJ61" s="584"/>
      <c r="AK61" s="609"/>
      <c r="AL61" s="441"/>
      <c r="AM61" s="607"/>
      <c r="AN61" s="608"/>
      <c r="AO61" s="608"/>
      <c r="AP61" s="440"/>
      <c r="AQ61" s="609"/>
    </row>
    <row r="62" spans="1:43" x14ac:dyDescent="0.2">
      <c r="A62" s="602"/>
      <c r="B62" s="603" t="s">
        <v>409</v>
      </c>
      <c r="C62" s="593"/>
      <c r="D62" s="594"/>
      <c r="E62" s="594"/>
      <c r="F62" s="594"/>
      <c r="G62" s="594"/>
      <c r="H62" s="594"/>
      <c r="I62" s="594"/>
      <c r="J62" s="594"/>
      <c r="K62" s="594"/>
      <c r="L62" s="594"/>
      <c r="M62" s="594"/>
      <c r="N62" s="595"/>
      <c r="O62" s="594"/>
      <c r="P62" s="594"/>
      <c r="Q62" s="594"/>
      <c r="R62" s="594"/>
      <c r="S62" s="594"/>
      <c r="T62" s="594"/>
      <c r="U62" s="594"/>
      <c r="V62" s="594"/>
      <c r="W62" s="594"/>
      <c r="X62" s="594"/>
      <c r="Y62" s="595"/>
      <c r="Z62" s="604"/>
      <c r="AA62" s="605"/>
      <c r="AB62" s="605"/>
      <c r="AC62" s="606"/>
      <c r="AD62" s="607"/>
      <c r="AE62" s="608"/>
      <c r="AF62" s="608"/>
      <c r="AG62" s="440"/>
      <c r="AH62" s="440"/>
      <c r="AI62" s="440"/>
      <c r="AJ62" s="584"/>
      <c r="AK62" s="609"/>
      <c r="AL62" s="441"/>
      <c r="AM62" s="607"/>
      <c r="AN62" s="608"/>
      <c r="AO62" s="608"/>
      <c r="AP62" s="440"/>
      <c r="AQ62" s="609"/>
    </row>
    <row r="63" spans="1:43" x14ac:dyDescent="0.2">
      <c r="A63" s="602"/>
      <c r="B63" s="603" t="s">
        <v>410</v>
      </c>
      <c r="C63" s="593"/>
      <c r="D63" s="594"/>
      <c r="E63" s="594"/>
      <c r="F63" s="594"/>
      <c r="G63" s="594"/>
      <c r="H63" s="594"/>
      <c r="I63" s="594"/>
      <c r="J63" s="594"/>
      <c r="K63" s="594"/>
      <c r="L63" s="594"/>
      <c r="M63" s="594"/>
      <c r="N63" s="595"/>
      <c r="O63" s="594"/>
      <c r="P63" s="594"/>
      <c r="Q63" s="594"/>
      <c r="R63" s="594"/>
      <c r="S63" s="594"/>
      <c r="T63" s="594"/>
      <c r="U63" s="594"/>
      <c r="V63" s="594"/>
      <c r="W63" s="594"/>
      <c r="X63" s="594"/>
      <c r="Y63" s="595"/>
      <c r="Z63" s="604"/>
      <c r="AA63" s="605"/>
      <c r="AB63" s="605"/>
      <c r="AC63" s="606"/>
      <c r="AD63" s="607"/>
      <c r="AE63" s="608"/>
      <c r="AF63" s="608"/>
      <c r="AG63" s="440"/>
      <c r="AH63" s="440"/>
      <c r="AI63" s="440"/>
      <c r="AJ63" s="584"/>
      <c r="AK63" s="609"/>
      <c r="AL63" s="441"/>
      <c r="AM63" s="607"/>
      <c r="AN63" s="608"/>
      <c r="AO63" s="608"/>
      <c r="AP63" s="440"/>
      <c r="AQ63" s="609"/>
    </row>
    <row r="64" spans="1:43" x14ac:dyDescent="0.2">
      <c r="A64" s="602"/>
      <c r="B64" s="603" t="s">
        <v>411</v>
      </c>
      <c r="C64" s="593"/>
      <c r="D64" s="594"/>
      <c r="E64" s="594"/>
      <c r="F64" s="594"/>
      <c r="G64" s="594"/>
      <c r="H64" s="594"/>
      <c r="I64" s="594"/>
      <c r="J64" s="594"/>
      <c r="K64" s="594"/>
      <c r="L64" s="594"/>
      <c r="M64" s="594"/>
      <c r="N64" s="595"/>
      <c r="O64" s="594"/>
      <c r="P64" s="594"/>
      <c r="Q64" s="594"/>
      <c r="R64" s="594"/>
      <c r="S64" s="594"/>
      <c r="T64" s="594"/>
      <c r="U64" s="594"/>
      <c r="V64" s="594"/>
      <c r="W64" s="594"/>
      <c r="X64" s="594"/>
      <c r="Y64" s="595"/>
      <c r="Z64" s="604"/>
      <c r="AA64" s="605"/>
      <c r="AB64" s="605"/>
      <c r="AC64" s="606"/>
      <c r="AD64" s="607"/>
      <c r="AE64" s="608"/>
      <c r="AF64" s="608"/>
      <c r="AG64" s="440"/>
      <c r="AH64" s="440"/>
      <c r="AI64" s="440"/>
      <c r="AJ64" s="584"/>
      <c r="AK64" s="609"/>
      <c r="AL64" s="441"/>
      <c r="AM64" s="607"/>
      <c r="AN64" s="608"/>
      <c r="AO64" s="608"/>
      <c r="AP64" s="440"/>
      <c r="AQ64" s="609"/>
    </row>
    <row r="65" spans="1:43" x14ac:dyDescent="0.2">
      <c r="A65" s="602"/>
      <c r="B65" s="603" t="s">
        <v>412</v>
      </c>
      <c r="C65" s="593"/>
      <c r="D65" s="594"/>
      <c r="E65" s="594"/>
      <c r="F65" s="594"/>
      <c r="G65" s="594"/>
      <c r="H65" s="594"/>
      <c r="I65" s="594"/>
      <c r="J65" s="594"/>
      <c r="K65" s="594"/>
      <c r="L65" s="594"/>
      <c r="M65" s="594"/>
      <c r="N65" s="595"/>
      <c r="O65" s="594"/>
      <c r="P65" s="594"/>
      <c r="Q65" s="594"/>
      <c r="R65" s="594"/>
      <c r="S65" s="594"/>
      <c r="T65" s="594"/>
      <c r="U65" s="594"/>
      <c r="V65" s="594"/>
      <c r="W65" s="594"/>
      <c r="X65" s="594"/>
      <c r="Y65" s="595"/>
      <c r="Z65" s="604"/>
      <c r="AA65" s="605"/>
      <c r="AB65" s="605"/>
      <c r="AC65" s="606"/>
      <c r="AD65" s="607"/>
      <c r="AE65" s="608"/>
      <c r="AF65" s="608"/>
      <c r="AG65" s="440"/>
      <c r="AH65" s="440"/>
      <c r="AI65" s="440"/>
      <c r="AJ65" s="584"/>
      <c r="AK65" s="609"/>
      <c r="AL65" s="441"/>
      <c r="AM65" s="607"/>
      <c r="AN65" s="608"/>
      <c r="AO65" s="608"/>
      <c r="AP65" s="440"/>
      <c r="AQ65" s="609"/>
    </row>
    <row r="66" spans="1:43" x14ac:dyDescent="0.2">
      <c r="A66" s="602"/>
      <c r="B66" s="603" t="s">
        <v>469</v>
      </c>
      <c r="C66" s="593"/>
      <c r="D66" s="594"/>
      <c r="E66" s="594"/>
      <c r="F66" s="594"/>
      <c r="G66" s="594"/>
      <c r="H66" s="594"/>
      <c r="I66" s="594"/>
      <c r="J66" s="594"/>
      <c r="K66" s="594"/>
      <c r="L66" s="594"/>
      <c r="M66" s="594"/>
      <c r="N66" s="595"/>
      <c r="O66" s="594"/>
      <c r="P66" s="594"/>
      <c r="Q66" s="594"/>
      <c r="R66" s="594"/>
      <c r="S66" s="594"/>
      <c r="T66" s="594"/>
      <c r="U66" s="594"/>
      <c r="V66" s="594"/>
      <c r="W66" s="594"/>
      <c r="X66" s="594"/>
      <c r="Y66" s="595"/>
      <c r="Z66" s="604"/>
      <c r="AA66" s="605"/>
      <c r="AB66" s="605"/>
      <c r="AC66" s="606"/>
      <c r="AD66" s="607"/>
      <c r="AE66" s="608"/>
      <c r="AF66" s="608"/>
      <c r="AG66" s="440"/>
      <c r="AH66" s="440"/>
      <c r="AI66" s="440"/>
      <c r="AJ66" s="584"/>
      <c r="AK66" s="609"/>
      <c r="AL66" s="441"/>
      <c r="AM66" s="607"/>
      <c r="AN66" s="608"/>
      <c r="AO66" s="608"/>
      <c r="AP66" s="440"/>
      <c r="AQ66" s="609"/>
    </row>
    <row r="67" spans="1:43" x14ac:dyDescent="0.2">
      <c r="A67" s="602"/>
      <c r="B67" s="603" t="s">
        <v>474</v>
      </c>
      <c r="C67" s="593"/>
      <c r="D67" s="594"/>
      <c r="E67" s="594"/>
      <c r="F67" s="594"/>
      <c r="G67" s="594"/>
      <c r="H67" s="594"/>
      <c r="I67" s="594"/>
      <c r="J67" s="594"/>
      <c r="K67" s="594"/>
      <c r="L67" s="594"/>
      <c r="M67" s="594"/>
      <c r="N67" s="595"/>
      <c r="O67" s="594"/>
      <c r="P67" s="594"/>
      <c r="Q67" s="594"/>
      <c r="R67" s="594"/>
      <c r="S67" s="594"/>
      <c r="T67" s="594"/>
      <c r="U67" s="594"/>
      <c r="V67" s="594"/>
      <c r="W67" s="594"/>
      <c r="X67" s="594"/>
      <c r="Y67" s="595"/>
      <c r="Z67" s="604"/>
      <c r="AA67" s="605"/>
      <c r="AB67" s="605"/>
      <c r="AC67" s="606"/>
      <c r="AD67" s="607"/>
      <c r="AE67" s="608"/>
      <c r="AF67" s="608"/>
      <c r="AG67" s="440"/>
      <c r="AH67" s="440"/>
      <c r="AI67" s="440"/>
      <c r="AJ67" s="584"/>
      <c r="AK67" s="609"/>
      <c r="AL67" s="441"/>
      <c r="AM67" s="607"/>
      <c r="AN67" s="608"/>
      <c r="AO67" s="608"/>
      <c r="AP67" s="440"/>
      <c r="AQ67" s="609"/>
    </row>
    <row r="68" spans="1:43" ht="24" x14ac:dyDescent="0.2">
      <c r="A68" s="602"/>
      <c r="B68" s="603" t="s">
        <v>470</v>
      </c>
      <c r="C68" s="593"/>
      <c r="D68" s="594"/>
      <c r="E68" s="594"/>
      <c r="F68" s="594"/>
      <c r="G68" s="594"/>
      <c r="H68" s="594"/>
      <c r="I68" s="594"/>
      <c r="J68" s="594"/>
      <c r="K68" s="594"/>
      <c r="L68" s="594"/>
      <c r="M68" s="594"/>
      <c r="N68" s="595"/>
      <c r="O68" s="594"/>
      <c r="P68" s="594"/>
      <c r="Q68" s="594"/>
      <c r="R68" s="594"/>
      <c r="S68" s="594"/>
      <c r="T68" s="594"/>
      <c r="U68" s="594"/>
      <c r="V68" s="594"/>
      <c r="W68" s="594"/>
      <c r="X68" s="594"/>
      <c r="Y68" s="595"/>
      <c r="Z68" s="604"/>
      <c r="AA68" s="605"/>
      <c r="AB68" s="605"/>
      <c r="AC68" s="606"/>
      <c r="AD68" s="607"/>
      <c r="AE68" s="608"/>
      <c r="AF68" s="608"/>
      <c r="AG68" s="440"/>
      <c r="AH68" s="440"/>
      <c r="AI68" s="440"/>
      <c r="AJ68" s="584"/>
      <c r="AK68" s="609"/>
      <c r="AL68" s="441"/>
      <c r="AM68" s="607"/>
      <c r="AN68" s="608"/>
      <c r="AO68" s="608"/>
      <c r="AP68" s="440"/>
      <c r="AQ68" s="609"/>
    </row>
    <row r="69" spans="1:43" x14ac:dyDescent="0.2">
      <c r="A69" s="602"/>
      <c r="B69" s="603" t="s">
        <v>475</v>
      </c>
      <c r="C69" s="593"/>
      <c r="D69" s="594"/>
      <c r="E69" s="594"/>
      <c r="F69" s="594"/>
      <c r="G69" s="594"/>
      <c r="H69" s="594"/>
      <c r="I69" s="594"/>
      <c r="J69" s="594"/>
      <c r="K69" s="594"/>
      <c r="L69" s="594"/>
      <c r="M69" s="594"/>
      <c r="N69" s="595"/>
      <c r="O69" s="594"/>
      <c r="P69" s="594"/>
      <c r="Q69" s="594"/>
      <c r="R69" s="594"/>
      <c r="S69" s="594"/>
      <c r="T69" s="594"/>
      <c r="U69" s="594"/>
      <c r="V69" s="594"/>
      <c r="W69" s="594"/>
      <c r="X69" s="594"/>
      <c r="Y69" s="595"/>
      <c r="Z69" s="604"/>
      <c r="AA69" s="605"/>
      <c r="AB69" s="605"/>
      <c r="AC69" s="606"/>
      <c r="AD69" s="607"/>
      <c r="AE69" s="608"/>
      <c r="AF69" s="608"/>
      <c r="AG69" s="440"/>
      <c r="AH69" s="440"/>
      <c r="AI69" s="440"/>
      <c r="AJ69" s="584"/>
      <c r="AK69" s="609"/>
      <c r="AL69" s="441"/>
      <c r="AM69" s="607"/>
      <c r="AN69" s="608"/>
      <c r="AO69" s="608"/>
      <c r="AP69" s="440"/>
      <c r="AQ69" s="609"/>
    </row>
    <row r="70" spans="1:43" x14ac:dyDescent="0.2">
      <c r="A70" s="602"/>
      <c r="B70" s="603" t="s">
        <v>471</v>
      </c>
      <c r="C70" s="593"/>
      <c r="D70" s="594"/>
      <c r="E70" s="594"/>
      <c r="F70" s="594"/>
      <c r="G70" s="594"/>
      <c r="H70" s="594"/>
      <c r="I70" s="594"/>
      <c r="J70" s="594"/>
      <c r="K70" s="594"/>
      <c r="L70" s="594"/>
      <c r="M70" s="594"/>
      <c r="N70" s="595"/>
      <c r="O70" s="594"/>
      <c r="P70" s="594"/>
      <c r="Q70" s="594"/>
      <c r="R70" s="594"/>
      <c r="S70" s="594"/>
      <c r="T70" s="594"/>
      <c r="U70" s="594"/>
      <c r="V70" s="594"/>
      <c r="W70" s="594"/>
      <c r="X70" s="594"/>
      <c r="Y70" s="595"/>
      <c r="Z70" s="604"/>
      <c r="AA70" s="605"/>
      <c r="AB70" s="605"/>
      <c r="AC70" s="606"/>
      <c r="AD70" s="607"/>
      <c r="AE70" s="608"/>
      <c r="AF70" s="608"/>
      <c r="AG70" s="440"/>
      <c r="AH70" s="440"/>
      <c r="AI70" s="440"/>
      <c r="AJ70" s="584"/>
      <c r="AK70" s="609"/>
      <c r="AL70" s="441"/>
      <c r="AM70" s="607"/>
      <c r="AN70" s="608"/>
      <c r="AO70" s="608"/>
      <c r="AP70" s="440"/>
      <c r="AQ70" s="609"/>
    </row>
    <row r="71" spans="1:43" ht="39.6" customHeight="1" x14ac:dyDescent="0.2">
      <c r="A71" s="602"/>
      <c r="B71" s="603" t="s">
        <v>472</v>
      </c>
      <c r="C71" s="593"/>
      <c r="D71" s="594"/>
      <c r="E71" s="594"/>
      <c r="F71" s="594"/>
      <c r="G71" s="594"/>
      <c r="H71" s="594"/>
      <c r="I71" s="594"/>
      <c r="J71" s="594"/>
      <c r="K71" s="594"/>
      <c r="L71" s="594"/>
      <c r="M71" s="594"/>
      <c r="N71" s="595"/>
      <c r="O71" s="594"/>
      <c r="P71" s="594"/>
      <c r="Q71" s="594"/>
      <c r="R71" s="594"/>
      <c r="S71" s="594"/>
      <c r="T71" s="594"/>
      <c r="U71" s="594"/>
      <c r="V71" s="594"/>
      <c r="W71" s="594"/>
      <c r="X71" s="594"/>
      <c r="Y71" s="595"/>
      <c r="Z71" s="604"/>
      <c r="AA71" s="605"/>
      <c r="AB71" s="605"/>
      <c r="AC71" s="606"/>
      <c r="AD71" s="607"/>
      <c r="AE71" s="608"/>
      <c r="AF71" s="608"/>
      <c r="AG71" s="440"/>
      <c r="AH71" s="440"/>
      <c r="AI71" s="440"/>
      <c r="AJ71" s="584"/>
      <c r="AK71" s="609"/>
      <c r="AL71" s="441"/>
      <c r="AM71" s="607"/>
      <c r="AN71" s="608"/>
      <c r="AO71" s="608"/>
      <c r="AP71" s="440"/>
      <c r="AQ71" s="609"/>
    </row>
    <row r="72" spans="1:43" ht="24" x14ac:dyDescent="0.2">
      <c r="A72" s="610"/>
      <c r="B72" s="611" t="s">
        <v>413</v>
      </c>
      <c r="C72" s="249"/>
      <c r="D72" s="250"/>
      <c r="E72" s="250"/>
      <c r="F72" s="250"/>
      <c r="G72" s="250"/>
      <c r="H72" s="250"/>
      <c r="I72" s="250"/>
      <c r="J72" s="250"/>
      <c r="K72" s="250"/>
      <c r="L72" s="250"/>
      <c r="M72" s="250"/>
      <c r="N72" s="251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1"/>
      <c r="Z72" s="587"/>
      <c r="AA72" s="588"/>
      <c r="AB72" s="588"/>
      <c r="AC72" s="589"/>
      <c r="AD72" s="612"/>
      <c r="AE72" s="613"/>
      <c r="AF72" s="613"/>
      <c r="AG72" s="440"/>
      <c r="AH72" s="440"/>
      <c r="AI72" s="440"/>
      <c r="AJ72" s="584"/>
      <c r="AK72" s="590"/>
      <c r="AL72" s="441"/>
      <c r="AM72" s="612"/>
      <c r="AN72" s="613"/>
      <c r="AO72" s="613"/>
      <c r="AP72" s="440"/>
      <c r="AQ72" s="590"/>
    </row>
    <row r="73" spans="1:43" ht="15" customHeight="1" x14ac:dyDescent="0.2">
      <c r="A73" s="591" t="s">
        <v>673</v>
      </c>
      <c r="B73" s="592" t="s">
        <v>390</v>
      </c>
      <c r="C73" s="615"/>
      <c r="D73" s="616"/>
      <c r="E73" s="616"/>
      <c r="F73" s="616"/>
      <c r="G73" s="616"/>
      <c r="H73" s="616"/>
      <c r="I73" s="616"/>
      <c r="J73" s="616"/>
      <c r="K73" s="616"/>
      <c r="L73" s="616" t="s">
        <v>678</v>
      </c>
      <c r="M73" s="616" t="s">
        <v>678</v>
      </c>
      <c r="N73" s="617" t="s">
        <v>678</v>
      </c>
      <c r="O73" s="616" t="s">
        <v>678</v>
      </c>
      <c r="P73" s="616" t="s">
        <v>678</v>
      </c>
      <c r="Q73" s="616" t="s">
        <v>678</v>
      </c>
      <c r="R73" s="616" t="s">
        <v>678</v>
      </c>
      <c r="S73" s="616" t="s">
        <v>678</v>
      </c>
      <c r="T73" s="616" t="s">
        <v>678</v>
      </c>
      <c r="U73" s="616" t="s">
        <v>678</v>
      </c>
      <c r="V73" s="616" t="s">
        <v>678</v>
      </c>
      <c r="W73" s="616" t="s">
        <v>678</v>
      </c>
      <c r="X73" s="616" t="s">
        <v>678</v>
      </c>
      <c r="Y73" s="617"/>
      <c r="Z73" s="618"/>
      <c r="AA73" s="619"/>
      <c r="AB73" s="619"/>
      <c r="AC73" s="620"/>
      <c r="AD73" s="599">
        <v>402</v>
      </c>
      <c r="AE73" s="600">
        <v>490</v>
      </c>
      <c r="AF73" s="882">
        <v>960</v>
      </c>
      <c r="AG73" s="883">
        <f t="shared" si="0"/>
        <v>385920</v>
      </c>
      <c r="AH73" s="883">
        <f t="shared" si="1"/>
        <v>470400</v>
      </c>
      <c r="AI73" s="883">
        <f t="shared" si="2"/>
        <v>84480</v>
      </c>
      <c r="AJ73" s="884">
        <v>52000</v>
      </c>
      <c r="AK73" s="621"/>
      <c r="AL73" s="599"/>
      <c r="AM73" s="599"/>
      <c r="AN73" s="600"/>
      <c r="AO73" s="600"/>
      <c r="AP73" s="440">
        <f t="shared" si="3"/>
        <v>0</v>
      </c>
      <c r="AQ73" s="621"/>
    </row>
    <row r="74" spans="1:43" ht="48" x14ac:dyDescent="0.2">
      <c r="A74" s="602"/>
      <c r="B74" s="603" t="s">
        <v>473</v>
      </c>
      <c r="C74" s="593"/>
      <c r="D74" s="594"/>
      <c r="E74" s="594"/>
      <c r="F74" s="594"/>
      <c r="G74" s="594"/>
      <c r="H74" s="594"/>
      <c r="I74" s="594"/>
      <c r="J74" s="594"/>
      <c r="K74" s="594"/>
      <c r="L74" s="594"/>
      <c r="M74" s="594"/>
      <c r="N74" s="595"/>
      <c r="O74" s="594"/>
      <c r="P74" s="594"/>
      <c r="Q74" s="594"/>
      <c r="R74" s="594"/>
      <c r="S74" s="594"/>
      <c r="T74" s="594"/>
      <c r="U74" s="594"/>
      <c r="V74" s="594"/>
      <c r="W74" s="594"/>
      <c r="X74" s="594"/>
      <c r="Y74" s="595"/>
      <c r="Z74" s="604"/>
      <c r="AA74" s="605"/>
      <c r="AB74" s="605"/>
      <c r="AC74" s="606"/>
      <c r="AD74" s="607"/>
      <c r="AE74" s="608"/>
      <c r="AF74" s="608"/>
      <c r="AG74" s="440"/>
      <c r="AH74" s="440"/>
      <c r="AI74" s="440"/>
      <c r="AJ74" s="584"/>
      <c r="AK74" s="609"/>
      <c r="AL74" s="607"/>
      <c r="AM74" s="607"/>
      <c r="AN74" s="608"/>
      <c r="AO74" s="608"/>
      <c r="AP74" s="440"/>
      <c r="AQ74" s="609"/>
    </row>
    <row r="75" spans="1:43" ht="48" x14ac:dyDescent="0.2">
      <c r="A75" s="610"/>
      <c r="B75" s="611" t="s">
        <v>391</v>
      </c>
      <c r="C75" s="249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1"/>
      <c r="O75" s="250"/>
      <c r="P75" s="250"/>
      <c r="Q75" s="250"/>
      <c r="R75" s="250"/>
      <c r="S75" s="250"/>
      <c r="T75" s="250"/>
      <c r="U75" s="250"/>
      <c r="V75" s="250"/>
      <c r="W75" s="250"/>
      <c r="X75" s="250"/>
      <c r="Y75" s="251"/>
      <c r="Z75" s="587"/>
      <c r="AA75" s="588"/>
      <c r="AB75" s="588"/>
      <c r="AC75" s="589"/>
      <c r="AD75" s="612"/>
      <c r="AE75" s="613"/>
      <c r="AF75" s="613"/>
      <c r="AG75" s="440"/>
      <c r="AH75" s="440"/>
      <c r="AI75" s="440"/>
      <c r="AJ75" s="584"/>
      <c r="AK75" s="590"/>
      <c r="AL75" s="612"/>
      <c r="AM75" s="612"/>
      <c r="AN75" s="613"/>
      <c r="AO75" s="613"/>
      <c r="AP75" s="440"/>
      <c r="AQ75" s="590"/>
    </row>
    <row r="76" spans="1:43" ht="15" customHeight="1" x14ac:dyDescent="0.2">
      <c r="A76" s="591" t="s">
        <v>674</v>
      </c>
      <c r="B76" s="592" t="s">
        <v>405</v>
      </c>
      <c r="C76" s="615"/>
      <c r="D76" s="616"/>
      <c r="E76" s="616"/>
      <c r="F76" s="616"/>
      <c r="G76" s="616"/>
      <c r="H76" s="616"/>
      <c r="I76" s="616"/>
      <c r="J76" s="616"/>
      <c r="K76" s="616" t="s">
        <v>678</v>
      </c>
      <c r="L76" s="616" t="s">
        <v>678</v>
      </c>
      <c r="M76" s="616" t="s">
        <v>678</v>
      </c>
      <c r="N76" s="617" t="s">
        <v>678</v>
      </c>
      <c r="O76" s="616" t="s">
        <v>678</v>
      </c>
      <c r="P76" s="616" t="s">
        <v>678</v>
      </c>
      <c r="Q76" s="616" t="s">
        <v>678</v>
      </c>
      <c r="R76" s="616" t="s">
        <v>678</v>
      </c>
      <c r="S76" s="616" t="s">
        <v>678</v>
      </c>
      <c r="T76" s="616" t="s">
        <v>678</v>
      </c>
      <c r="U76" s="616" t="s">
        <v>678</v>
      </c>
      <c r="V76" s="616" t="s">
        <v>678</v>
      </c>
      <c r="W76" s="616" t="s">
        <v>678</v>
      </c>
      <c r="X76" s="616" t="s">
        <v>678</v>
      </c>
      <c r="Y76" s="617" t="s">
        <v>678</v>
      </c>
      <c r="Z76" s="618"/>
      <c r="AA76" s="619"/>
      <c r="AB76" s="619"/>
      <c r="AC76" s="620"/>
      <c r="AD76" s="599">
        <v>370</v>
      </c>
      <c r="AE76" s="600">
        <v>430</v>
      </c>
      <c r="AF76" s="882">
        <v>960</v>
      </c>
      <c r="AG76" s="883">
        <f t="shared" si="0"/>
        <v>355200</v>
      </c>
      <c r="AH76" s="883">
        <f t="shared" si="1"/>
        <v>412800</v>
      </c>
      <c r="AI76" s="883">
        <f t="shared" si="2"/>
        <v>57600</v>
      </c>
      <c r="AJ76" s="884">
        <v>32000</v>
      </c>
      <c r="AK76" s="621"/>
      <c r="AL76" s="599"/>
      <c r="AM76" s="599"/>
      <c r="AN76" s="600"/>
      <c r="AO76" s="600"/>
      <c r="AP76" s="440">
        <f t="shared" si="3"/>
        <v>0</v>
      </c>
      <c r="AQ76" s="621"/>
    </row>
    <row r="77" spans="1:43" ht="36" x14ac:dyDescent="0.2">
      <c r="A77" s="602"/>
      <c r="B77" s="603" t="s">
        <v>406</v>
      </c>
      <c r="C77" s="593"/>
      <c r="D77" s="594"/>
      <c r="E77" s="594"/>
      <c r="F77" s="594"/>
      <c r="G77" s="594"/>
      <c r="H77" s="594"/>
      <c r="I77" s="594"/>
      <c r="J77" s="594"/>
      <c r="K77" s="594"/>
      <c r="L77" s="594"/>
      <c r="M77" s="594"/>
      <c r="N77" s="595"/>
      <c r="O77" s="594"/>
      <c r="P77" s="594"/>
      <c r="Q77" s="594"/>
      <c r="R77" s="594"/>
      <c r="S77" s="594"/>
      <c r="T77" s="594"/>
      <c r="U77" s="594"/>
      <c r="V77" s="594"/>
      <c r="W77" s="594"/>
      <c r="X77" s="594"/>
      <c r="Y77" s="595"/>
      <c r="Z77" s="604"/>
      <c r="AA77" s="605"/>
      <c r="AB77" s="605"/>
      <c r="AC77" s="606"/>
      <c r="AD77" s="607"/>
      <c r="AE77" s="608"/>
      <c r="AF77" s="608"/>
      <c r="AG77" s="440"/>
      <c r="AH77" s="440"/>
      <c r="AI77" s="440"/>
      <c r="AJ77" s="584"/>
      <c r="AK77" s="609"/>
      <c r="AL77" s="607"/>
      <c r="AM77" s="607"/>
      <c r="AN77" s="608"/>
      <c r="AO77" s="608"/>
      <c r="AP77" s="440"/>
      <c r="AQ77" s="609"/>
    </row>
    <row r="78" spans="1:43" x14ac:dyDescent="0.2">
      <c r="A78" s="602"/>
      <c r="B78" s="603" t="s">
        <v>454</v>
      </c>
      <c r="C78" s="593"/>
      <c r="D78" s="594"/>
      <c r="E78" s="594"/>
      <c r="F78" s="594"/>
      <c r="G78" s="594"/>
      <c r="H78" s="594"/>
      <c r="I78" s="594"/>
      <c r="J78" s="594"/>
      <c r="K78" s="594"/>
      <c r="L78" s="594"/>
      <c r="M78" s="594"/>
      <c r="N78" s="595"/>
      <c r="O78" s="594"/>
      <c r="P78" s="594"/>
      <c r="Q78" s="594"/>
      <c r="R78" s="594"/>
      <c r="S78" s="594"/>
      <c r="T78" s="594"/>
      <c r="U78" s="594"/>
      <c r="V78" s="594"/>
      <c r="W78" s="594"/>
      <c r="X78" s="594"/>
      <c r="Y78" s="595"/>
      <c r="Z78" s="604"/>
      <c r="AA78" s="605"/>
      <c r="AB78" s="605"/>
      <c r="AC78" s="606"/>
      <c r="AD78" s="607"/>
      <c r="AE78" s="608"/>
      <c r="AF78" s="608"/>
      <c r="AG78" s="440"/>
      <c r="AH78" s="440"/>
      <c r="AI78" s="440"/>
      <c r="AJ78" s="584"/>
      <c r="AK78" s="609"/>
      <c r="AL78" s="607"/>
      <c r="AM78" s="607"/>
      <c r="AN78" s="608"/>
      <c r="AO78" s="608"/>
      <c r="AP78" s="440"/>
      <c r="AQ78" s="609"/>
    </row>
    <row r="79" spans="1:43" x14ac:dyDescent="0.2">
      <c r="A79" s="602"/>
      <c r="B79" s="603" t="s">
        <v>455</v>
      </c>
      <c r="C79" s="593"/>
      <c r="D79" s="594"/>
      <c r="E79" s="594"/>
      <c r="F79" s="594"/>
      <c r="G79" s="594"/>
      <c r="H79" s="594"/>
      <c r="I79" s="594"/>
      <c r="J79" s="594"/>
      <c r="K79" s="594"/>
      <c r="L79" s="594"/>
      <c r="M79" s="594"/>
      <c r="N79" s="595"/>
      <c r="O79" s="594"/>
      <c r="P79" s="594"/>
      <c r="Q79" s="594"/>
      <c r="R79" s="594"/>
      <c r="S79" s="594"/>
      <c r="T79" s="594"/>
      <c r="U79" s="594"/>
      <c r="V79" s="594"/>
      <c r="W79" s="594"/>
      <c r="X79" s="594"/>
      <c r="Y79" s="595"/>
      <c r="Z79" s="604"/>
      <c r="AA79" s="605"/>
      <c r="AB79" s="605"/>
      <c r="AC79" s="606"/>
      <c r="AD79" s="607"/>
      <c r="AE79" s="608"/>
      <c r="AF79" s="608"/>
      <c r="AG79" s="440"/>
      <c r="AH79" s="440"/>
      <c r="AI79" s="440"/>
      <c r="AJ79" s="584"/>
      <c r="AK79" s="609"/>
      <c r="AL79" s="607"/>
      <c r="AM79" s="607"/>
      <c r="AN79" s="608"/>
      <c r="AO79" s="608"/>
      <c r="AP79" s="440"/>
      <c r="AQ79" s="609"/>
    </row>
    <row r="80" spans="1:43" x14ac:dyDescent="0.2">
      <c r="A80" s="602"/>
      <c r="B80" s="603" t="s">
        <v>456</v>
      </c>
      <c r="C80" s="593"/>
      <c r="D80" s="594"/>
      <c r="E80" s="594"/>
      <c r="F80" s="594"/>
      <c r="G80" s="594"/>
      <c r="H80" s="594"/>
      <c r="I80" s="594"/>
      <c r="J80" s="594"/>
      <c r="K80" s="594"/>
      <c r="L80" s="594"/>
      <c r="M80" s="594"/>
      <c r="N80" s="595"/>
      <c r="O80" s="594"/>
      <c r="P80" s="594"/>
      <c r="Q80" s="594"/>
      <c r="R80" s="594"/>
      <c r="S80" s="594"/>
      <c r="T80" s="594"/>
      <c r="U80" s="594"/>
      <c r="V80" s="594"/>
      <c r="W80" s="594"/>
      <c r="X80" s="594"/>
      <c r="Y80" s="595"/>
      <c r="Z80" s="604"/>
      <c r="AA80" s="605"/>
      <c r="AB80" s="605"/>
      <c r="AC80" s="606"/>
      <c r="AD80" s="607"/>
      <c r="AE80" s="608"/>
      <c r="AF80" s="608"/>
      <c r="AG80" s="440"/>
      <c r="AH80" s="440"/>
      <c r="AI80" s="440"/>
      <c r="AJ80" s="584"/>
      <c r="AK80" s="609"/>
      <c r="AL80" s="607"/>
      <c r="AM80" s="607"/>
      <c r="AN80" s="608"/>
      <c r="AO80" s="608"/>
      <c r="AP80" s="440"/>
      <c r="AQ80" s="609"/>
    </row>
    <row r="81" spans="1:43" x14ac:dyDescent="0.2">
      <c r="A81" s="602"/>
      <c r="B81" s="603" t="s">
        <v>457</v>
      </c>
      <c r="C81" s="593"/>
      <c r="D81" s="594"/>
      <c r="E81" s="594"/>
      <c r="F81" s="594"/>
      <c r="G81" s="594"/>
      <c r="H81" s="594"/>
      <c r="I81" s="594"/>
      <c r="J81" s="594"/>
      <c r="K81" s="594"/>
      <c r="L81" s="594"/>
      <c r="M81" s="594"/>
      <c r="N81" s="595"/>
      <c r="O81" s="594"/>
      <c r="P81" s="594"/>
      <c r="Q81" s="594"/>
      <c r="R81" s="594"/>
      <c r="S81" s="594"/>
      <c r="T81" s="594"/>
      <c r="U81" s="594"/>
      <c r="V81" s="594"/>
      <c r="W81" s="594"/>
      <c r="X81" s="594"/>
      <c r="Y81" s="595"/>
      <c r="Z81" s="604"/>
      <c r="AA81" s="605"/>
      <c r="AB81" s="605"/>
      <c r="AC81" s="606"/>
      <c r="AD81" s="607"/>
      <c r="AE81" s="608"/>
      <c r="AF81" s="608"/>
      <c r="AG81" s="440"/>
      <c r="AH81" s="440"/>
      <c r="AI81" s="440"/>
      <c r="AJ81" s="584"/>
      <c r="AK81" s="609"/>
      <c r="AL81" s="607"/>
      <c r="AM81" s="607"/>
      <c r="AN81" s="608"/>
      <c r="AO81" s="608"/>
      <c r="AP81" s="440"/>
      <c r="AQ81" s="609"/>
    </row>
    <row r="82" spans="1:43" x14ac:dyDescent="0.2">
      <c r="A82" s="602"/>
      <c r="B82" s="603" t="s">
        <v>458</v>
      </c>
      <c r="C82" s="593"/>
      <c r="D82" s="594"/>
      <c r="E82" s="594"/>
      <c r="F82" s="594"/>
      <c r="G82" s="594"/>
      <c r="H82" s="594"/>
      <c r="I82" s="594"/>
      <c r="J82" s="594"/>
      <c r="K82" s="594"/>
      <c r="L82" s="594"/>
      <c r="M82" s="594"/>
      <c r="N82" s="595"/>
      <c r="O82" s="594"/>
      <c r="P82" s="594"/>
      <c r="Q82" s="594"/>
      <c r="R82" s="594"/>
      <c r="S82" s="594"/>
      <c r="T82" s="594"/>
      <c r="U82" s="594"/>
      <c r="V82" s="594"/>
      <c r="W82" s="594"/>
      <c r="X82" s="594"/>
      <c r="Y82" s="595"/>
      <c r="Z82" s="604"/>
      <c r="AA82" s="605"/>
      <c r="AB82" s="605"/>
      <c r="AC82" s="606"/>
      <c r="AD82" s="607"/>
      <c r="AE82" s="608"/>
      <c r="AF82" s="608"/>
      <c r="AG82" s="440"/>
      <c r="AH82" s="440"/>
      <c r="AI82" s="440"/>
      <c r="AJ82" s="584"/>
      <c r="AK82" s="609"/>
      <c r="AL82" s="607"/>
      <c r="AM82" s="607"/>
      <c r="AN82" s="608"/>
      <c r="AO82" s="608"/>
      <c r="AP82" s="440"/>
      <c r="AQ82" s="609"/>
    </row>
    <row r="83" spans="1:43" x14ac:dyDescent="0.2">
      <c r="A83" s="602"/>
      <c r="B83" s="603" t="s">
        <v>459</v>
      </c>
      <c r="C83" s="593"/>
      <c r="D83" s="594"/>
      <c r="E83" s="594"/>
      <c r="F83" s="594"/>
      <c r="G83" s="594"/>
      <c r="H83" s="594"/>
      <c r="I83" s="594"/>
      <c r="J83" s="594"/>
      <c r="K83" s="594"/>
      <c r="L83" s="594"/>
      <c r="M83" s="594"/>
      <c r="N83" s="595"/>
      <c r="O83" s="594"/>
      <c r="P83" s="594"/>
      <c r="Q83" s="594"/>
      <c r="R83" s="594"/>
      <c r="S83" s="594"/>
      <c r="T83" s="594"/>
      <c r="U83" s="594"/>
      <c r="V83" s="594"/>
      <c r="W83" s="594"/>
      <c r="X83" s="594"/>
      <c r="Y83" s="595"/>
      <c r="Z83" s="604"/>
      <c r="AA83" s="605"/>
      <c r="AB83" s="605"/>
      <c r="AC83" s="606"/>
      <c r="AD83" s="607"/>
      <c r="AE83" s="608"/>
      <c r="AF83" s="608"/>
      <c r="AG83" s="440"/>
      <c r="AH83" s="440"/>
      <c r="AI83" s="440"/>
      <c r="AJ83" s="584"/>
      <c r="AK83" s="609"/>
      <c r="AL83" s="607"/>
      <c r="AM83" s="607"/>
      <c r="AN83" s="608"/>
      <c r="AO83" s="608"/>
      <c r="AP83" s="440"/>
      <c r="AQ83" s="609"/>
    </row>
    <row r="84" spans="1:43" x14ac:dyDescent="0.2">
      <c r="A84" s="602"/>
      <c r="B84" s="603" t="s">
        <v>460</v>
      </c>
      <c r="C84" s="593"/>
      <c r="D84" s="594"/>
      <c r="E84" s="594"/>
      <c r="F84" s="594"/>
      <c r="G84" s="594"/>
      <c r="H84" s="594"/>
      <c r="I84" s="594"/>
      <c r="J84" s="594"/>
      <c r="K84" s="594"/>
      <c r="L84" s="594"/>
      <c r="M84" s="594"/>
      <c r="N84" s="595"/>
      <c r="O84" s="594"/>
      <c r="P84" s="594"/>
      <c r="Q84" s="594"/>
      <c r="R84" s="594"/>
      <c r="S84" s="594"/>
      <c r="T84" s="594"/>
      <c r="U84" s="594"/>
      <c r="V84" s="594"/>
      <c r="W84" s="594"/>
      <c r="X84" s="594"/>
      <c r="Y84" s="595"/>
      <c r="Z84" s="604"/>
      <c r="AA84" s="605"/>
      <c r="AB84" s="605"/>
      <c r="AC84" s="606"/>
      <c r="AD84" s="607"/>
      <c r="AE84" s="608"/>
      <c r="AF84" s="608"/>
      <c r="AG84" s="440"/>
      <c r="AH84" s="440"/>
      <c r="AI84" s="440"/>
      <c r="AJ84" s="584"/>
      <c r="AK84" s="609"/>
      <c r="AL84" s="607"/>
      <c r="AM84" s="607"/>
      <c r="AN84" s="608"/>
      <c r="AO84" s="608"/>
      <c r="AP84" s="440"/>
      <c r="AQ84" s="609"/>
    </row>
    <row r="85" spans="1:43" x14ac:dyDescent="0.2">
      <c r="A85" s="602"/>
      <c r="B85" s="603" t="s">
        <v>461</v>
      </c>
      <c r="C85" s="593"/>
      <c r="D85" s="594"/>
      <c r="E85" s="594"/>
      <c r="F85" s="594"/>
      <c r="G85" s="594"/>
      <c r="H85" s="594"/>
      <c r="I85" s="594"/>
      <c r="J85" s="594"/>
      <c r="K85" s="594"/>
      <c r="L85" s="594"/>
      <c r="M85" s="594"/>
      <c r="N85" s="595"/>
      <c r="O85" s="594"/>
      <c r="P85" s="594"/>
      <c r="Q85" s="594"/>
      <c r="R85" s="594"/>
      <c r="S85" s="594"/>
      <c r="T85" s="594"/>
      <c r="U85" s="594"/>
      <c r="V85" s="594"/>
      <c r="W85" s="594"/>
      <c r="X85" s="594"/>
      <c r="Y85" s="595"/>
      <c r="Z85" s="604"/>
      <c r="AA85" s="605"/>
      <c r="AB85" s="605"/>
      <c r="AC85" s="606"/>
      <c r="AD85" s="607"/>
      <c r="AE85" s="608"/>
      <c r="AF85" s="608"/>
      <c r="AG85" s="440"/>
      <c r="AH85" s="440"/>
      <c r="AI85" s="440"/>
      <c r="AJ85" s="584"/>
      <c r="AK85" s="609"/>
      <c r="AL85" s="607"/>
      <c r="AM85" s="607"/>
      <c r="AN85" s="608"/>
      <c r="AO85" s="608"/>
      <c r="AP85" s="440"/>
      <c r="AQ85" s="609"/>
    </row>
    <row r="86" spans="1:43" x14ac:dyDescent="0.2">
      <c r="A86" s="610"/>
      <c r="B86" s="611" t="s">
        <v>462</v>
      </c>
      <c r="C86" s="249"/>
      <c r="D86" s="250"/>
      <c r="E86" s="250"/>
      <c r="F86" s="250"/>
      <c r="G86" s="250"/>
      <c r="H86" s="250"/>
      <c r="I86" s="250"/>
      <c r="J86" s="250"/>
      <c r="K86" s="250"/>
      <c r="L86" s="250"/>
      <c r="M86" s="250"/>
      <c r="N86" s="251"/>
      <c r="O86" s="250"/>
      <c r="P86" s="250"/>
      <c r="Q86" s="250"/>
      <c r="R86" s="250"/>
      <c r="S86" s="250"/>
      <c r="T86" s="250"/>
      <c r="U86" s="250"/>
      <c r="V86" s="250"/>
      <c r="W86" s="250"/>
      <c r="X86" s="250"/>
      <c r="Y86" s="251"/>
      <c r="Z86" s="587"/>
      <c r="AA86" s="588"/>
      <c r="AB86" s="588"/>
      <c r="AC86" s="589"/>
      <c r="AD86" s="612"/>
      <c r="AE86" s="613"/>
      <c r="AF86" s="613"/>
      <c r="AG86" s="440"/>
      <c r="AH86" s="440"/>
      <c r="AI86" s="440"/>
      <c r="AJ86" s="584"/>
      <c r="AK86" s="590"/>
      <c r="AL86" s="612"/>
      <c r="AM86" s="612"/>
      <c r="AN86" s="613"/>
      <c r="AO86" s="613"/>
      <c r="AP86" s="440"/>
      <c r="AQ86" s="590"/>
    </row>
    <row r="87" spans="1:43" ht="96" x14ac:dyDescent="0.2">
      <c r="A87" s="211" t="s">
        <v>675</v>
      </c>
      <c r="B87" s="586" t="s">
        <v>425</v>
      </c>
      <c r="C87" s="252"/>
      <c r="D87" s="253"/>
      <c r="E87" s="253"/>
      <c r="F87" s="253"/>
      <c r="G87" s="253"/>
      <c r="H87" s="253"/>
      <c r="I87" s="253"/>
      <c r="J87" s="253"/>
      <c r="K87" s="253"/>
      <c r="L87" s="253"/>
      <c r="M87" s="253"/>
      <c r="N87" s="254"/>
      <c r="O87" s="253"/>
      <c r="P87" s="253"/>
      <c r="Q87" s="253"/>
      <c r="R87" s="253"/>
      <c r="S87" s="253"/>
      <c r="T87" s="253"/>
      <c r="U87" s="253"/>
      <c r="V87" s="253"/>
      <c r="W87" s="253" t="s">
        <v>678</v>
      </c>
      <c r="X87" s="253" t="s">
        <v>678</v>
      </c>
      <c r="Y87" s="254" t="s">
        <v>678</v>
      </c>
      <c r="Z87" s="478"/>
      <c r="AA87" s="479"/>
      <c r="AB87" s="479"/>
      <c r="AC87" s="480"/>
      <c r="AD87" s="442">
        <v>14</v>
      </c>
      <c r="AE87" s="224">
        <v>25</v>
      </c>
      <c r="AF87" s="882">
        <v>960</v>
      </c>
      <c r="AG87" s="883">
        <f t="shared" si="0"/>
        <v>13440</v>
      </c>
      <c r="AH87" s="883">
        <f t="shared" si="1"/>
        <v>24000</v>
      </c>
      <c r="AI87" s="883">
        <f t="shared" si="2"/>
        <v>10560</v>
      </c>
      <c r="AJ87" s="884">
        <v>1500</v>
      </c>
      <c r="AK87" s="444"/>
      <c r="AL87" s="442"/>
      <c r="AM87" s="442"/>
      <c r="AN87" s="224"/>
      <c r="AO87" s="224"/>
      <c r="AP87" s="440">
        <f t="shared" si="3"/>
        <v>0</v>
      </c>
      <c r="AQ87" s="444"/>
    </row>
    <row r="88" spans="1:43" ht="24" x14ac:dyDescent="0.2">
      <c r="A88" s="591" t="s">
        <v>676</v>
      </c>
      <c r="B88" s="592" t="s">
        <v>426</v>
      </c>
      <c r="C88" s="615"/>
      <c r="D88" s="616"/>
      <c r="E88" s="616"/>
      <c r="F88" s="616"/>
      <c r="G88" s="616"/>
      <c r="H88" s="616"/>
      <c r="I88" s="616"/>
      <c r="J88" s="616" t="s">
        <v>678</v>
      </c>
      <c r="K88" s="616" t="s">
        <v>678</v>
      </c>
      <c r="L88" s="616" t="s">
        <v>678</v>
      </c>
      <c r="M88" s="616" t="s">
        <v>678</v>
      </c>
      <c r="N88" s="617" t="s">
        <v>678</v>
      </c>
      <c r="O88" s="616" t="s">
        <v>678</v>
      </c>
      <c r="P88" s="616" t="s">
        <v>678</v>
      </c>
      <c r="Q88" s="616" t="s">
        <v>678</v>
      </c>
      <c r="R88" s="616" t="s">
        <v>678</v>
      </c>
      <c r="S88" s="616" t="s">
        <v>678</v>
      </c>
      <c r="T88" s="616" t="s">
        <v>678</v>
      </c>
      <c r="U88" s="616" t="s">
        <v>678</v>
      </c>
      <c r="V88" s="616" t="s">
        <v>678</v>
      </c>
      <c r="W88" s="616" t="s">
        <v>678</v>
      </c>
      <c r="X88" s="616" t="s">
        <v>678</v>
      </c>
      <c r="Y88" s="617" t="s">
        <v>678</v>
      </c>
      <c r="Z88" s="618"/>
      <c r="AA88" s="619"/>
      <c r="AB88" s="619"/>
      <c r="AC88" s="620"/>
      <c r="AD88" s="599">
        <v>250</v>
      </c>
      <c r="AE88" s="600">
        <v>315</v>
      </c>
      <c r="AF88" s="882">
        <v>960</v>
      </c>
      <c r="AG88" s="883">
        <f t="shared" si="0"/>
        <v>240000</v>
      </c>
      <c r="AH88" s="883">
        <f t="shared" si="1"/>
        <v>302400</v>
      </c>
      <c r="AI88" s="883">
        <f t="shared" si="2"/>
        <v>62400</v>
      </c>
      <c r="AJ88" s="884">
        <v>35000</v>
      </c>
      <c r="AK88" s="621"/>
      <c r="AL88" s="599"/>
      <c r="AM88" s="599"/>
      <c r="AN88" s="600"/>
      <c r="AO88" s="600"/>
      <c r="AP88" s="440">
        <f t="shared" si="3"/>
        <v>0</v>
      </c>
      <c r="AQ88" s="621"/>
    </row>
    <row r="89" spans="1:43" x14ac:dyDescent="0.2">
      <c r="A89" s="602"/>
      <c r="B89" s="603" t="s">
        <v>452</v>
      </c>
      <c r="C89" s="593"/>
      <c r="D89" s="594"/>
      <c r="E89" s="594"/>
      <c r="F89" s="594"/>
      <c r="G89" s="594"/>
      <c r="H89" s="594"/>
      <c r="I89" s="594"/>
      <c r="J89" s="594"/>
      <c r="K89" s="594"/>
      <c r="L89" s="594"/>
      <c r="M89" s="594"/>
      <c r="N89" s="595"/>
      <c r="O89" s="594"/>
      <c r="P89" s="594"/>
      <c r="Q89" s="594"/>
      <c r="R89" s="594"/>
      <c r="S89" s="594"/>
      <c r="T89" s="594"/>
      <c r="U89" s="594"/>
      <c r="V89" s="594"/>
      <c r="W89" s="594"/>
      <c r="X89" s="594"/>
      <c r="Y89" s="595"/>
      <c r="Z89" s="604"/>
      <c r="AA89" s="605"/>
      <c r="AB89" s="605"/>
      <c r="AC89" s="606"/>
      <c r="AD89" s="607"/>
      <c r="AE89" s="608"/>
      <c r="AF89" s="608"/>
      <c r="AG89" s="440"/>
      <c r="AH89" s="440"/>
      <c r="AI89" s="440"/>
      <c r="AJ89" s="584"/>
      <c r="AK89" s="609"/>
      <c r="AL89" s="607"/>
      <c r="AM89" s="607"/>
      <c r="AN89" s="608"/>
      <c r="AO89" s="608"/>
      <c r="AP89" s="440"/>
      <c r="AQ89" s="609"/>
    </row>
    <row r="90" spans="1:43" x14ac:dyDescent="0.2">
      <c r="A90" s="602"/>
      <c r="B90" s="603" t="s">
        <v>427</v>
      </c>
      <c r="C90" s="593"/>
      <c r="D90" s="594"/>
      <c r="E90" s="594"/>
      <c r="F90" s="594"/>
      <c r="G90" s="594"/>
      <c r="H90" s="594"/>
      <c r="I90" s="594"/>
      <c r="J90" s="594"/>
      <c r="K90" s="594"/>
      <c r="L90" s="594"/>
      <c r="M90" s="594"/>
      <c r="N90" s="595"/>
      <c r="O90" s="594"/>
      <c r="P90" s="594"/>
      <c r="Q90" s="594"/>
      <c r="R90" s="594"/>
      <c r="S90" s="594"/>
      <c r="T90" s="594"/>
      <c r="U90" s="594"/>
      <c r="V90" s="594"/>
      <c r="W90" s="594"/>
      <c r="X90" s="594"/>
      <c r="Y90" s="595"/>
      <c r="Z90" s="604"/>
      <c r="AA90" s="605"/>
      <c r="AB90" s="605"/>
      <c r="AC90" s="606"/>
      <c r="AD90" s="607"/>
      <c r="AE90" s="608"/>
      <c r="AF90" s="608"/>
      <c r="AG90" s="440"/>
      <c r="AH90" s="440"/>
      <c r="AI90" s="440"/>
      <c r="AJ90" s="584"/>
      <c r="AK90" s="609"/>
      <c r="AL90" s="607"/>
      <c r="AM90" s="607"/>
      <c r="AN90" s="608"/>
      <c r="AO90" s="608"/>
      <c r="AP90" s="440"/>
      <c r="AQ90" s="609"/>
    </row>
    <row r="91" spans="1:43" x14ac:dyDescent="0.2">
      <c r="A91" s="602"/>
      <c r="B91" s="603" t="s">
        <v>428</v>
      </c>
      <c r="C91" s="593"/>
      <c r="D91" s="594"/>
      <c r="E91" s="594"/>
      <c r="F91" s="594"/>
      <c r="G91" s="594"/>
      <c r="H91" s="594"/>
      <c r="I91" s="594"/>
      <c r="J91" s="594"/>
      <c r="K91" s="594"/>
      <c r="L91" s="594"/>
      <c r="M91" s="594"/>
      <c r="N91" s="595"/>
      <c r="O91" s="594"/>
      <c r="P91" s="594"/>
      <c r="Q91" s="594"/>
      <c r="R91" s="594"/>
      <c r="S91" s="594"/>
      <c r="T91" s="594"/>
      <c r="U91" s="594"/>
      <c r="V91" s="594"/>
      <c r="W91" s="594"/>
      <c r="X91" s="594"/>
      <c r="Y91" s="595"/>
      <c r="Z91" s="604"/>
      <c r="AA91" s="605"/>
      <c r="AB91" s="605"/>
      <c r="AC91" s="606"/>
      <c r="AD91" s="607"/>
      <c r="AE91" s="608"/>
      <c r="AF91" s="608"/>
      <c r="AG91" s="440"/>
      <c r="AH91" s="440"/>
      <c r="AI91" s="440"/>
      <c r="AJ91" s="584"/>
      <c r="AK91" s="609"/>
      <c r="AL91" s="607"/>
      <c r="AM91" s="607"/>
      <c r="AN91" s="608"/>
      <c r="AO91" s="608"/>
      <c r="AP91" s="440"/>
      <c r="AQ91" s="609"/>
    </row>
    <row r="92" spans="1:43" x14ac:dyDescent="0.2">
      <c r="A92" s="602"/>
      <c r="B92" s="603" t="s">
        <v>429</v>
      </c>
      <c r="C92" s="593"/>
      <c r="D92" s="594"/>
      <c r="E92" s="594"/>
      <c r="F92" s="594"/>
      <c r="G92" s="594"/>
      <c r="H92" s="594"/>
      <c r="I92" s="594"/>
      <c r="J92" s="594"/>
      <c r="K92" s="594"/>
      <c r="L92" s="594"/>
      <c r="M92" s="594"/>
      <c r="N92" s="595"/>
      <c r="O92" s="594"/>
      <c r="P92" s="594"/>
      <c r="Q92" s="594"/>
      <c r="R92" s="594"/>
      <c r="S92" s="594"/>
      <c r="T92" s="594"/>
      <c r="U92" s="594"/>
      <c r="V92" s="594"/>
      <c r="W92" s="594"/>
      <c r="X92" s="594"/>
      <c r="Y92" s="595"/>
      <c r="Z92" s="604"/>
      <c r="AA92" s="605"/>
      <c r="AB92" s="605"/>
      <c r="AC92" s="606"/>
      <c r="AD92" s="607"/>
      <c r="AE92" s="608"/>
      <c r="AF92" s="608"/>
      <c r="AG92" s="440"/>
      <c r="AH92" s="440"/>
      <c r="AI92" s="440"/>
      <c r="AJ92" s="584"/>
      <c r="AK92" s="609"/>
      <c r="AL92" s="607"/>
      <c r="AM92" s="607"/>
      <c r="AN92" s="608"/>
      <c r="AO92" s="608"/>
      <c r="AP92" s="440"/>
      <c r="AQ92" s="609"/>
    </row>
    <row r="93" spans="1:43" x14ac:dyDescent="0.2">
      <c r="A93" s="602"/>
      <c r="B93" s="603" t="s">
        <v>430</v>
      </c>
      <c r="C93" s="593"/>
      <c r="D93" s="594"/>
      <c r="E93" s="594"/>
      <c r="F93" s="594"/>
      <c r="G93" s="594"/>
      <c r="H93" s="594"/>
      <c r="I93" s="594"/>
      <c r="J93" s="594"/>
      <c r="K93" s="594"/>
      <c r="L93" s="594"/>
      <c r="M93" s="594"/>
      <c r="N93" s="595"/>
      <c r="O93" s="594"/>
      <c r="P93" s="594"/>
      <c r="Q93" s="594"/>
      <c r="R93" s="594"/>
      <c r="S93" s="594"/>
      <c r="T93" s="594"/>
      <c r="U93" s="594"/>
      <c r="V93" s="594"/>
      <c r="W93" s="594"/>
      <c r="X93" s="594"/>
      <c r="Y93" s="595"/>
      <c r="Z93" s="604"/>
      <c r="AA93" s="605"/>
      <c r="AB93" s="605"/>
      <c r="AC93" s="606"/>
      <c r="AD93" s="607"/>
      <c r="AE93" s="608"/>
      <c r="AF93" s="608"/>
      <c r="AG93" s="440"/>
      <c r="AH93" s="440"/>
      <c r="AI93" s="440"/>
      <c r="AJ93" s="584"/>
      <c r="AK93" s="609"/>
      <c r="AL93" s="607"/>
      <c r="AM93" s="607"/>
      <c r="AN93" s="608"/>
      <c r="AO93" s="608"/>
      <c r="AP93" s="440"/>
      <c r="AQ93" s="609"/>
    </row>
    <row r="94" spans="1:43" ht="48" x14ac:dyDescent="0.2">
      <c r="A94" s="602"/>
      <c r="B94" s="603" t="s">
        <v>431</v>
      </c>
      <c r="C94" s="593"/>
      <c r="D94" s="594"/>
      <c r="E94" s="594"/>
      <c r="F94" s="594"/>
      <c r="G94" s="594"/>
      <c r="H94" s="594"/>
      <c r="I94" s="594"/>
      <c r="J94" s="594"/>
      <c r="K94" s="594"/>
      <c r="L94" s="594"/>
      <c r="M94" s="594"/>
      <c r="N94" s="595"/>
      <c r="O94" s="594"/>
      <c r="P94" s="594"/>
      <c r="Q94" s="594"/>
      <c r="R94" s="594"/>
      <c r="S94" s="594"/>
      <c r="T94" s="594"/>
      <c r="U94" s="594"/>
      <c r="V94" s="594"/>
      <c r="W94" s="594"/>
      <c r="X94" s="594"/>
      <c r="Y94" s="595"/>
      <c r="Z94" s="604"/>
      <c r="AA94" s="605"/>
      <c r="AB94" s="605"/>
      <c r="AC94" s="606"/>
      <c r="AD94" s="607"/>
      <c r="AE94" s="608"/>
      <c r="AF94" s="608"/>
      <c r="AG94" s="440"/>
      <c r="AH94" s="440"/>
      <c r="AI94" s="440"/>
      <c r="AJ94" s="584"/>
      <c r="AK94" s="609"/>
      <c r="AL94" s="607"/>
      <c r="AM94" s="607"/>
      <c r="AN94" s="608"/>
      <c r="AO94" s="608"/>
      <c r="AP94" s="440"/>
      <c r="AQ94" s="609"/>
    </row>
    <row r="95" spans="1:43" x14ac:dyDescent="0.2">
      <c r="A95" s="602"/>
      <c r="B95" s="603" t="s">
        <v>432</v>
      </c>
      <c r="C95" s="593"/>
      <c r="D95" s="594"/>
      <c r="E95" s="594"/>
      <c r="F95" s="594"/>
      <c r="G95" s="594"/>
      <c r="H95" s="594"/>
      <c r="I95" s="594"/>
      <c r="J95" s="594"/>
      <c r="K95" s="594"/>
      <c r="L95" s="594"/>
      <c r="M95" s="594"/>
      <c r="N95" s="595"/>
      <c r="O95" s="594"/>
      <c r="P95" s="594"/>
      <c r="Q95" s="594"/>
      <c r="R95" s="594"/>
      <c r="S95" s="594"/>
      <c r="T95" s="594"/>
      <c r="U95" s="594"/>
      <c r="V95" s="594"/>
      <c r="W95" s="594"/>
      <c r="X95" s="594"/>
      <c r="Y95" s="595"/>
      <c r="Z95" s="604"/>
      <c r="AA95" s="605"/>
      <c r="AB95" s="605"/>
      <c r="AC95" s="606"/>
      <c r="AD95" s="607"/>
      <c r="AE95" s="608"/>
      <c r="AF95" s="608"/>
      <c r="AG95" s="440"/>
      <c r="AH95" s="440"/>
      <c r="AI95" s="440"/>
      <c r="AJ95" s="584"/>
      <c r="AK95" s="609"/>
      <c r="AL95" s="607"/>
      <c r="AM95" s="607"/>
      <c r="AN95" s="608"/>
      <c r="AO95" s="608"/>
      <c r="AP95" s="440"/>
      <c r="AQ95" s="609"/>
    </row>
    <row r="96" spans="1:43" ht="24" x14ac:dyDescent="0.2">
      <c r="A96" s="602"/>
      <c r="B96" s="603" t="s">
        <v>433</v>
      </c>
      <c r="C96" s="593"/>
      <c r="D96" s="594"/>
      <c r="E96" s="594"/>
      <c r="F96" s="594"/>
      <c r="G96" s="594"/>
      <c r="H96" s="594"/>
      <c r="I96" s="594"/>
      <c r="J96" s="594"/>
      <c r="K96" s="594"/>
      <c r="L96" s="594"/>
      <c r="M96" s="594"/>
      <c r="N96" s="595"/>
      <c r="O96" s="594"/>
      <c r="P96" s="594"/>
      <c r="Q96" s="594"/>
      <c r="R96" s="594"/>
      <c r="S96" s="594"/>
      <c r="T96" s="594"/>
      <c r="U96" s="594"/>
      <c r="V96" s="594"/>
      <c r="W96" s="594"/>
      <c r="X96" s="594"/>
      <c r="Y96" s="595"/>
      <c r="Z96" s="604"/>
      <c r="AA96" s="605"/>
      <c r="AB96" s="605"/>
      <c r="AC96" s="606"/>
      <c r="AD96" s="607"/>
      <c r="AE96" s="608"/>
      <c r="AF96" s="608"/>
      <c r="AG96" s="440"/>
      <c r="AH96" s="440"/>
      <c r="AI96" s="440"/>
      <c r="AJ96" s="584"/>
      <c r="AK96" s="609"/>
      <c r="AL96" s="607"/>
      <c r="AM96" s="607"/>
      <c r="AN96" s="608"/>
      <c r="AO96" s="608"/>
      <c r="AP96" s="440"/>
      <c r="AQ96" s="609"/>
    </row>
    <row r="97" spans="1:43" x14ac:dyDescent="0.2">
      <c r="A97" s="602"/>
      <c r="B97" s="603" t="s">
        <v>434</v>
      </c>
      <c r="C97" s="593"/>
      <c r="D97" s="594"/>
      <c r="E97" s="594"/>
      <c r="F97" s="594"/>
      <c r="G97" s="594"/>
      <c r="H97" s="594"/>
      <c r="I97" s="594"/>
      <c r="J97" s="594"/>
      <c r="K97" s="594"/>
      <c r="L97" s="594"/>
      <c r="M97" s="594"/>
      <c r="N97" s="595"/>
      <c r="O97" s="594"/>
      <c r="P97" s="594"/>
      <c r="Q97" s="594"/>
      <c r="R97" s="594"/>
      <c r="S97" s="594"/>
      <c r="T97" s="594"/>
      <c r="U97" s="594"/>
      <c r="V97" s="594"/>
      <c r="W97" s="594"/>
      <c r="X97" s="594"/>
      <c r="Y97" s="595"/>
      <c r="Z97" s="604"/>
      <c r="AA97" s="605"/>
      <c r="AB97" s="605"/>
      <c r="AC97" s="606"/>
      <c r="AD97" s="607"/>
      <c r="AE97" s="608"/>
      <c r="AF97" s="608"/>
      <c r="AG97" s="440"/>
      <c r="AH97" s="440"/>
      <c r="AI97" s="440"/>
      <c r="AJ97" s="584"/>
      <c r="AK97" s="609"/>
      <c r="AL97" s="607"/>
      <c r="AM97" s="607"/>
      <c r="AN97" s="608"/>
      <c r="AO97" s="608"/>
      <c r="AP97" s="440"/>
      <c r="AQ97" s="609"/>
    </row>
    <row r="98" spans="1:43" ht="36" x14ac:dyDescent="0.2">
      <c r="A98" s="602"/>
      <c r="B98" s="603" t="s">
        <v>435</v>
      </c>
      <c r="C98" s="593"/>
      <c r="D98" s="594"/>
      <c r="E98" s="594"/>
      <c r="F98" s="594"/>
      <c r="G98" s="594"/>
      <c r="H98" s="594"/>
      <c r="I98" s="594"/>
      <c r="J98" s="594"/>
      <c r="K98" s="594"/>
      <c r="L98" s="594"/>
      <c r="M98" s="594"/>
      <c r="N98" s="595"/>
      <c r="O98" s="594"/>
      <c r="P98" s="594"/>
      <c r="Q98" s="594"/>
      <c r="R98" s="594"/>
      <c r="S98" s="594"/>
      <c r="T98" s="594"/>
      <c r="U98" s="594"/>
      <c r="V98" s="594"/>
      <c r="W98" s="594"/>
      <c r="X98" s="594"/>
      <c r="Y98" s="595"/>
      <c r="Z98" s="604"/>
      <c r="AA98" s="605"/>
      <c r="AB98" s="605"/>
      <c r="AC98" s="606"/>
      <c r="AD98" s="607"/>
      <c r="AE98" s="608"/>
      <c r="AF98" s="608"/>
      <c r="AG98" s="440"/>
      <c r="AH98" s="440"/>
      <c r="AI98" s="440"/>
      <c r="AJ98" s="584"/>
      <c r="AK98" s="609"/>
      <c r="AL98" s="607"/>
      <c r="AM98" s="607"/>
      <c r="AN98" s="608"/>
      <c r="AO98" s="608"/>
      <c r="AP98" s="440"/>
      <c r="AQ98" s="609"/>
    </row>
    <row r="99" spans="1:43" x14ac:dyDescent="0.2">
      <c r="A99" s="602"/>
      <c r="B99" s="603" t="s">
        <v>436</v>
      </c>
      <c r="C99" s="593"/>
      <c r="D99" s="594"/>
      <c r="E99" s="594"/>
      <c r="F99" s="594"/>
      <c r="G99" s="594"/>
      <c r="H99" s="594"/>
      <c r="I99" s="594"/>
      <c r="J99" s="594"/>
      <c r="K99" s="594"/>
      <c r="L99" s="594"/>
      <c r="M99" s="594"/>
      <c r="N99" s="595"/>
      <c r="O99" s="594"/>
      <c r="P99" s="594"/>
      <c r="Q99" s="594"/>
      <c r="R99" s="594"/>
      <c r="S99" s="594"/>
      <c r="T99" s="594"/>
      <c r="U99" s="594"/>
      <c r="V99" s="594"/>
      <c r="W99" s="594"/>
      <c r="X99" s="594"/>
      <c r="Y99" s="595"/>
      <c r="Z99" s="604"/>
      <c r="AA99" s="605"/>
      <c r="AB99" s="605"/>
      <c r="AC99" s="606"/>
      <c r="AD99" s="607"/>
      <c r="AE99" s="608"/>
      <c r="AF99" s="608"/>
      <c r="AG99" s="440"/>
      <c r="AH99" s="440"/>
      <c r="AI99" s="440"/>
      <c r="AJ99" s="584"/>
      <c r="AK99" s="609"/>
      <c r="AL99" s="607"/>
      <c r="AM99" s="607"/>
      <c r="AN99" s="608"/>
      <c r="AO99" s="608"/>
      <c r="AP99" s="440"/>
      <c r="AQ99" s="609"/>
    </row>
    <row r="100" spans="1:43" x14ac:dyDescent="0.2">
      <c r="A100" s="602"/>
      <c r="B100" s="603" t="s">
        <v>437</v>
      </c>
      <c r="C100" s="593"/>
      <c r="D100" s="594"/>
      <c r="E100" s="594"/>
      <c r="F100" s="594"/>
      <c r="G100" s="594"/>
      <c r="H100" s="594"/>
      <c r="I100" s="594"/>
      <c r="J100" s="594"/>
      <c r="K100" s="594"/>
      <c r="L100" s="594"/>
      <c r="M100" s="594"/>
      <c r="N100" s="595"/>
      <c r="O100" s="594"/>
      <c r="P100" s="594"/>
      <c r="Q100" s="594"/>
      <c r="R100" s="594"/>
      <c r="S100" s="594"/>
      <c r="T100" s="594"/>
      <c r="U100" s="594"/>
      <c r="V100" s="594"/>
      <c r="W100" s="594"/>
      <c r="X100" s="594"/>
      <c r="Y100" s="595"/>
      <c r="Z100" s="604"/>
      <c r="AA100" s="605"/>
      <c r="AB100" s="605"/>
      <c r="AC100" s="606"/>
      <c r="AD100" s="607"/>
      <c r="AE100" s="608"/>
      <c r="AF100" s="608"/>
      <c r="AG100" s="440"/>
      <c r="AH100" s="440"/>
      <c r="AI100" s="440"/>
      <c r="AJ100" s="584"/>
      <c r="AK100" s="609"/>
      <c r="AL100" s="607"/>
      <c r="AM100" s="607"/>
      <c r="AN100" s="608"/>
      <c r="AO100" s="608"/>
      <c r="AP100" s="440"/>
      <c r="AQ100" s="609"/>
    </row>
    <row r="101" spans="1:43" x14ac:dyDescent="0.2">
      <c r="A101" s="602"/>
      <c r="B101" s="603" t="s">
        <v>438</v>
      </c>
      <c r="C101" s="593"/>
      <c r="D101" s="594"/>
      <c r="E101" s="594"/>
      <c r="F101" s="594"/>
      <c r="G101" s="594"/>
      <c r="H101" s="594"/>
      <c r="I101" s="594"/>
      <c r="J101" s="594"/>
      <c r="K101" s="594"/>
      <c r="L101" s="594"/>
      <c r="M101" s="594"/>
      <c r="N101" s="595"/>
      <c r="O101" s="594"/>
      <c r="P101" s="594"/>
      <c r="Q101" s="594"/>
      <c r="R101" s="594"/>
      <c r="S101" s="594"/>
      <c r="T101" s="594"/>
      <c r="U101" s="594"/>
      <c r="V101" s="594"/>
      <c r="W101" s="594"/>
      <c r="X101" s="594"/>
      <c r="Y101" s="595"/>
      <c r="Z101" s="604"/>
      <c r="AA101" s="605"/>
      <c r="AB101" s="605"/>
      <c r="AC101" s="606"/>
      <c r="AD101" s="607"/>
      <c r="AE101" s="608"/>
      <c r="AF101" s="608"/>
      <c r="AG101" s="440"/>
      <c r="AH101" s="440"/>
      <c r="AI101" s="440"/>
      <c r="AJ101" s="584"/>
      <c r="AK101" s="609"/>
      <c r="AL101" s="607"/>
      <c r="AM101" s="607"/>
      <c r="AN101" s="608"/>
      <c r="AO101" s="608"/>
      <c r="AP101" s="440"/>
      <c r="AQ101" s="609"/>
    </row>
    <row r="102" spans="1:43" x14ac:dyDescent="0.2">
      <c r="A102" s="602"/>
      <c r="B102" s="603" t="s">
        <v>439</v>
      </c>
      <c r="C102" s="593"/>
      <c r="D102" s="594"/>
      <c r="E102" s="594"/>
      <c r="F102" s="594"/>
      <c r="G102" s="594"/>
      <c r="H102" s="594"/>
      <c r="I102" s="594"/>
      <c r="J102" s="594"/>
      <c r="K102" s="594"/>
      <c r="L102" s="594"/>
      <c r="M102" s="594"/>
      <c r="N102" s="595"/>
      <c r="O102" s="594"/>
      <c r="P102" s="594"/>
      <c r="Q102" s="594"/>
      <c r="R102" s="594"/>
      <c r="S102" s="594"/>
      <c r="T102" s="594"/>
      <c r="U102" s="594"/>
      <c r="V102" s="594"/>
      <c r="W102" s="594"/>
      <c r="X102" s="594"/>
      <c r="Y102" s="595"/>
      <c r="Z102" s="604"/>
      <c r="AA102" s="605"/>
      <c r="AB102" s="605"/>
      <c r="AC102" s="606"/>
      <c r="AD102" s="607"/>
      <c r="AE102" s="608"/>
      <c r="AF102" s="608"/>
      <c r="AG102" s="440"/>
      <c r="AH102" s="440"/>
      <c r="AI102" s="440"/>
      <c r="AJ102" s="584"/>
      <c r="AK102" s="609"/>
      <c r="AL102" s="607"/>
      <c r="AM102" s="607"/>
      <c r="AN102" s="608"/>
      <c r="AO102" s="608"/>
      <c r="AP102" s="440"/>
      <c r="AQ102" s="609"/>
    </row>
    <row r="103" spans="1:43" x14ac:dyDescent="0.2">
      <c r="A103" s="602"/>
      <c r="B103" s="603" t="s">
        <v>440</v>
      </c>
      <c r="C103" s="593"/>
      <c r="D103" s="594"/>
      <c r="E103" s="594"/>
      <c r="F103" s="594"/>
      <c r="G103" s="594"/>
      <c r="H103" s="594"/>
      <c r="I103" s="594"/>
      <c r="J103" s="594"/>
      <c r="K103" s="594"/>
      <c r="L103" s="594"/>
      <c r="M103" s="594"/>
      <c r="N103" s="595"/>
      <c r="O103" s="594"/>
      <c r="P103" s="594"/>
      <c r="Q103" s="594"/>
      <c r="R103" s="594"/>
      <c r="S103" s="594"/>
      <c r="T103" s="594"/>
      <c r="U103" s="594"/>
      <c r="V103" s="594"/>
      <c r="W103" s="594"/>
      <c r="X103" s="594"/>
      <c r="Y103" s="595"/>
      <c r="Z103" s="604"/>
      <c r="AA103" s="605"/>
      <c r="AB103" s="605"/>
      <c r="AC103" s="606"/>
      <c r="AD103" s="607"/>
      <c r="AE103" s="608"/>
      <c r="AF103" s="608"/>
      <c r="AG103" s="440"/>
      <c r="AH103" s="440"/>
      <c r="AI103" s="440"/>
      <c r="AJ103" s="584"/>
      <c r="AK103" s="609"/>
      <c r="AL103" s="607"/>
      <c r="AM103" s="607"/>
      <c r="AN103" s="608"/>
      <c r="AO103" s="608"/>
      <c r="AP103" s="440"/>
      <c r="AQ103" s="609"/>
    </row>
    <row r="104" spans="1:43" x14ac:dyDescent="0.2">
      <c r="A104" s="602"/>
      <c r="B104" s="603" t="s">
        <v>441</v>
      </c>
      <c r="C104" s="593"/>
      <c r="D104" s="594"/>
      <c r="E104" s="594"/>
      <c r="F104" s="594"/>
      <c r="G104" s="594"/>
      <c r="H104" s="594"/>
      <c r="I104" s="594"/>
      <c r="J104" s="594"/>
      <c r="K104" s="594"/>
      <c r="L104" s="594"/>
      <c r="M104" s="594"/>
      <c r="N104" s="595"/>
      <c r="O104" s="594"/>
      <c r="P104" s="594"/>
      <c r="Q104" s="594"/>
      <c r="R104" s="594"/>
      <c r="S104" s="594"/>
      <c r="T104" s="594"/>
      <c r="U104" s="594"/>
      <c r="V104" s="594"/>
      <c r="W104" s="594"/>
      <c r="X104" s="594"/>
      <c r="Y104" s="595"/>
      <c r="Z104" s="604"/>
      <c r="AA104" s="605"/>
      <c r="AB104" s="605"/>
      <c r="AC104" s="606"/>
      <c r="AD104" s="607"/>
      <c r="AE104" s="608"/>
      <c r="AF104" s="608"/>
      <c r="AG104" s="440"/>
      <c r="AH104" s="440"/>
      <c r="AI104" s="440"/>
      <c r="AJ104" s="584"/>
      <c r="AK104" s="609"/>
      <c r="AL104" s="607"/>
      <c r="AM104" s="607"/>
      <c r="AN104" s="608"/>
      <c r="AO104" s="608"/>
      <c r="AP104" s="440"/>
      <c r="AQ104" s="609"/>
    </row>
    <row r="105" spans="1:43" ht="24" x14ac:dyDescent="0.2">
      <c r="A105" s="602"/>
      <c r="B105" s="603" t="s">
        <v>442</v>
      </c>
      <c r="C105" s="593"/>
      <c r="D105" s="594"/>
      <c r="E105" s="594"/>
      <c r="F105" s="594"/>
      <c r="G105" s="594"/>
      <c r="H105" s="594"/>
      <c r="I105" s="594"/>
      <c r="J105" s="594"/>
      <c r="K105" s="594"/>
      <c r="L105" s="594"/>
      <c r="M105" s="594"/>
      <c r="N105" s="595"/>
      <c r="O105" s="594"/>
      <c r="P105" s="594"/>
      <c r="Q105" s="594"/>
      <c r="R105" s="594"/>
      <c r="S105" s="594"/>
      <c r="T105" s="594"/>
      <c r="U105" s="594"/>
      <c r="V105" s="594"/>
      <c r="W105" s="594"/>
      <c r="X105" s="594"/>
      <c r="Y105" s="595"/>
      <c r="Z105" s="604"/>
      <c r="AA105" s="605"/>
      <c r="AB105" s="605"/>
      <c r="AC105" s="606"/>
      <c r="AD105" s="607"/>
      <c r="AE105" s="608"/>
      <c r="AF105" s="608"/>
      <c r="AG105" s="440"/>
      <c r="AH105" s="440"/>
      <c r="AI105" s="440"/>
      <c r="AJ105" s="584"/>
      <c r="AK105" s="609"/>
      <c r="AL105" s="607"/>
      <c r="AM105" s="607"/>
      <c r="AN105" s="608"/>
      <c r="AO105" s="608"/>
      <c r="AP105" s="440"/>
      <c r="AQ105" s="609"/>
    </row>
    <row r="106" spans="1:43" ht="24" x14ac:dyDescent="0.2">
      <c r="A106" s="602"/>
      <c r="B106" s="603" t="s">
        <v>443</v>
      </c>
      <c r="C106" s="593"/>
      <c r="D106" s="594"/>
      <c r="E106" s="594"/>
      <c r="F106" s="594"/>
      <c r="G106" s="594"/>
      <c r="H106" s="594"/>
      <c r="I106" s="594"/>
      <c r="J106" s="594"/>
      <c r="K106" s="594"/>
      <c r="L106" s="594"/>
      <c r="M106" s="594"/>
      <c r="N106" s="595"/>
      <c r="O106" s="594"/>
      <c r="P106" s="594"/>
      <c r="Q106" s="594"/>
      <c r="R106" s="594"/>
      <c r="S106" s="594"/>
      <c r="T106" s="594"/>
      <c r="U106" s="594"/>
      <c r="V106" s="594"/>
      <c r="W106" s="594"/>
      <c r="X106" s="594"/>
      <c r="Y106" s="595"/>
      <c r="Z106" s="604"/>
      <c r="AA106" s="605"/>
      <c r="AB106" s="605"/>
      <c r="AC106" s="606"/>
      <c r="AD106" s="607"/>
      <c r="AE106" s="608"/>
      <c r="AF106" s="608"/>
      <c r="AG106" s="440"/>
      <c r="AH106" s="440"/>
      <c r="AI106" s="440"/>
      <c r="AJ106" s="584"/>
      <c r="AK106" s="609"/>
      <c r="AL106" s="607"/>
      <c r="AM106" s="607"/>
      <c r="AN106" s="608"/>
      <c r="AO106" s="608"/>
      <c r="AP106" s="440"/>
      <c r="AQ106" s="609"/>
    </row>
    <row r="107" spans="1:43" x14ac:dyDescent="0.2">
      <c r="A107" s="602"/>
      <c r="B107" s="603" t="s">
        <v>444</v>
      </c>
      <c r="C107" s="593"/>
      <c r="D107" s="594"/>
      <c r="E107" s="594"/>
      <c r="F107" s="594"/>
      <c r="G107" s="594"/>
      <c r="H107" s="594"/>
      <c r="I107" s="594"/>
      <c r="J107" s="594"/>
      <c r="K107" s="594"/>
      <c r="L107" s="594"/>
      <c r="M107" s="594"/>
      <c r="N107" s="595"/>
      <c r="O107" s="594"/>
      <c r="P107" s="594"/>
      <c r="Q107" s="594"/>
      <c r="R107" s="594"/>
      <c r="S107" s="594"/>
      <c r="T107" s="594"/>
      <c r="U107" s="594"/>
      <c r="V107" s="594"/>
      <c r="W107" s="594"/>
      <c r="X107" s="594"/>
      <c r="Y107" s="595"/>
      <c r="Z107" s="604"/>
      <c r="AA107" s="605"/>
      <c r="AB107" s="605"/>
      <c r="AC107" s="606"/>
      <c r="AD107" s="607"/>
      <c r="AE107" s="608"/>
      <c r="AF107" s="608"/>
      <c r="AG107" s="440"/>
      <c r="AH107" s="440"/>
      <c r="AI107" s="440"/>
      <c r="AJ107" s="584"/>
      <c r="AK107" s="609"/>
      <c r="AL107" s="607"/>
      <c r="AM107" s="607"/>
      <c r="AN107" s="608"/>
      <c r="AO107" s="608"/>
      <c r="AP107" s="440"/>
      <c r="AQ107" s="609"/>
    </row>
    <row r="108" spans="1:43" x14ac:dyDescent="0.2">
      <c r="A108" s="602"/>
      <c r="B108" s="603" t="s">
        <v>445</v>
      </c>
      <c r="C108" s="593"/>
      <c r="D108" s="594"/>
      <c r="E108" s="594"/>
      <c r="F108" s="594"/>
      <c r="G108" s="594"/>
      <c r="H108" s="594"/>
      <c r="I108" s="594"/>
      <c r="J108" s="594"/>
      <c r="K108" s="594"/>
      <c r="L108" s="594"/>
      <c r="M108" s="594"/>
      <c r="N108" s="595"/>
      <c r="O108" s="594"/>
      <c r="P108" s="594"/>
      <c r="Q108" s="594"/>
      <c r="R108" s="594"/>
      <c r="S108" s="594"/>
      <c r="T108" s="594"/>
      <c r="U108" s="594"/>
      <c r="V108" s="594"/>
      <c r="W108" s="594"/>
      <c r="X108" s="594"/>
      <c r="Y108" s="595"/>
      <c r="Z108" s="604"/>
      <c r="AA108" s="605"/>
      <c r="AB108" s="605"/>
      <c r="AC108" s="606"/>
      <c r="AD108" s="607"/>
      <c r="AE108" s="608"/>
      <c r="AF108" s="608"/>
      <c r="AG108" s="440"/>
      <c r="AH108" s="440"/>
      <c r="AI108" s="440"/>
      <c r="AJ108" s="584"/>
      <c r="AK108" s="609"/>
      <c r="AL108" s="607"/>
      <c r="AM108" s="607"/>
      <c r="AN108" s="608"/>
      <c r="AO108" s="608"/>
      <c r="AP108" s="440"/>
      <c r="AQ108" s="609"/>
    </row>
    <row r="109" spans="1:43" x14ac:dyDescent="0.2">
      <c r="A109" s="602"/>
      <c r="B109" s="603" t="s">
        <v>446</v>
      </c>
      <c r="C109" s="593"/>
      <c r="D109" s="594"/>
      <c r="E109" s="594"/>
      <c r="F109" s="594"/>
      <c r="G109" s="594"/>
      <c r="H109" s="594"/>
      <c r="I109" s="594"/>
      <c r="J109" s="594"/>
      <c r="K109" s="594"/>
      <c r="L109" s="594"/>
      <c r="M109" s="594"/>
      <c r="N109" s="595"/>
      <c r="O109" s="594"/>
      <c r="P109" s="594"/>
      <c r="Q109" s="594"/>
      <c r="R109" s="594"/>
      <c r="S109" s="594"/>
      <c r="T109" s="594"/>
      <c r="U109" s="594"/>
      <c r="V109" s="594"/>
      <c r="W109" s="594"/>
      <c r="X109" s="594"/>
      <c r="Y109" s="595"/>
      <c r="Z109" s="604"/>
      <c r="AA109" s="605"/>
      <c r="AB109" s="605"/>
      <c r="AC109" s="606"/>
      <c r="AD109" s="607"/>
      <c r="AE109" s="608"/>
      <c r="AF109" s="608"/>
      <c r="AG109" s="440"/>
      <c r="AH109" s="440"/>
      <c r="AI109" s="440"/>
      <c r="AJ109" s="584"/>
      <c r="AK109" s="609"/>
      <c r="AL109" s="607"/>
      <c r="AM109" s="607"/>
      <c r="AN109" s="608"/>
      <c r="AO109" s="608"/>
      <c r="AP109" s="440"/>
      <c r="AQ109" s="609"/>
    </row>
    <row r="110" spans="1:43" ht="24" x14ac:dyDescent="0.2">
      <c r="A110" s="602"/>
      <c r="B110" s="603" t="s">
        <v>447</v>
      </c>
      <c r="C110" s="593"/>
      <c r="D110" s="594"/>
      <c r="E110" s="594"/>
      <c r="F110" s="594"/>
      <c r="G110" s="594"/>
      <c r="H110" s="594"/>
      <c r="I110" s="594"/>
      <c r="J110" s="594"/>
      <c r="K110" s="594"/>
      <c r="L110" s="594"/>
      <c r="M110" s="594"/>
      <c r="N110" s="595"/>
      <c r="O110" s="594"/>
      <c r="P110" s="594"/>
      <c r="Q110" s="594"/>
      <c r="R110" s="594"/>
      <c r="S110" s="594"/>
      <c r="T110" s="594"/>
      <c r="U110" s="594"/>
      <c r="V110" s="594"/>
      <c r="W110" s="594"/>
      <c r="X110" s="594"/>
      <c r="Y110" s="595"/>
      <c r="Z110" s="604"/>
      <c r="AA110" s="605"/>
      <c r="AB110" s="605"/>
      <c r="AC110" s="606"/>
      <c r="AD110" s="607"/>
      <c r="AE110" s="608"/>
      <c r="AF110" s="608"/>
      <c r="AG110" s="440"/>
      <c r="AH110" s="440"/>
      <c r="AI110" s="440"/>
      <c r="AJ110" s="584"/>
      <c r="AK110" s="609"/>
      <c r="AL110" s="607"/>
      <c r="AM110" s="607"/>
      <c r="AN110" s="608"/>
      <c r="AO110" s="608"/>
      <c r="AP110" s="440"/>
      <c r="AQ110" s="609"/>
    </row>
    <row r="111" spans="1:43" ht="24" x14ac:dyDescent="0.2">
      <c r="A111" s="602"/>
      <c r="B111" s="603" t="s">
        <v>448</v>
      </c>
      <c r="C111" s="593"/>
      <c r="D111" s="594"/>
      <c r="E111" s="594"/>
      <c r="F111" s="594"/>
      <c r="G111" s="594"/>
      <c r="H111" s="594"/>
      <c r="I111" s="594"/>
      <c r="J111" s="594"/>
      <c r="K111" s="594"/>
      <c r="L111" s="594"/>
      <c r="M111" s="594"/>
      <c r="N111" s="595"/>
      <c r="O111" s="594"/>
      <c r="P111" s="594"/>
      <c r="Q111" s="594"/>
      <c r="R111" s="594"/>
      <c r="S111" s="594"/>
      <c r="T111" s="594"/>
      <c r="U111" s="594"/>
      <c r="V111" s="594"/>
      <c r="W111" s="594"/>
      <c r="X111" s="594"/>
      <c r="Y111" s="595"/>
      <c r="Z111" s="604"/>
      <c r="AA111" s="605"/>
      <c r="AB111" s="605"/>
      <c r="AC111" s="606"/>
      <c r="AD111" s="607"/>
      <c r="AE111" s="608"/>
      <c r="AF111" s="608"/>
      <c r="AG111" s="440"/>
      <c r="AH111" s="440"/>
      <c r="AI111" s="440"/>
      <c r="AJ111" s="584"/>
      <c r="AK111" s="609"/>
      <c r="AL111" s="607"/>
      <c r="AM111" s="607"/>
      <c r="AN111" s="608"/>
      <c r="AO111" s="608"/>
      <c r="AP111" s="440"/>
      <c r="AQ111" s="609"/>
    </row>
    <row r="112" spans="1:43" ht="24" x14ac:dyDescent="0.2">
      <c r="A112" s="602"/>
      <c r="B112" s="603" t="s">
        <v>449</v>
      </c>
      <c r="C112" s="593"/>
      <c r="D112" s="594"/>
      <c r="E112" s="594"/>
      <c r="F112" s="594"/>
      <c r="G112" s="594"/>
      <c r="H112" s="594"/>
      <c r="I112" s="594"/>
      <c r="J112" s="594"/>
      <c r="K112" s="594"/>
      <c r="L112" s="594"/>
      <c r="M112" s="594"/>
      <c r="N112" s="595"/>
      <c r="O112" s="594"/>
      <c r="P112" s="594"/>
      <c r="Q112" s="594"/>
      <c r="R112" s="594"/>
      <c r="S112" s="594"/>
      <c r="T112" s="594"/>
      <c r="U112" s="594"/>
      <c r="V112" s="594"/>
      <c r="W112" s="594"/>
      <c r="X112" s="594"/>
      <c r="Y112" s="595"/>
      <c r="Z112" s="604"/>
      <c r="AA112" s="605"/>
      <c r="AB112" s="605"/>
      <c r="AC112" s="606"/>
      <c r="AD112" s="607"/>
      <c r="AE112" s="608"/>
      <c r="AF112" s="608"/>
      <c r="AG112" s="440"/>
      <c r="AH112" s="440"/>
      <c r="AI112" s="440"/>
      <c r="AJ112" s="584"/>
      <c r="AK112" s="609"/>
      <c r="AL112" s="607"/>
      <c r="AM112" s="607"/>
      <c r="AN112" s="608"/>
      <c r="AO112" s="608"/>
      <c r="AP112" s="440"/>
      <c r="AQ112" s="609"/>
    </row>
    <row r="113" spans="1:43" x14ac:dyDescent="0.2">
      <c r="A113" s="602"/>
      <c r="B113" s="603" t="s">
        <v>450</v>
      </c>
      <c r="C113" s="593"/>
      <c r="D113" s="594"/>
      <c r="E113" s="594"/>
      <c r="F113" s="594"/>
      <c r="G113" s="594"/>
      <c r="H113" s="594"/>
      <c r="I113" s="594"/>
      <c r="J113" s="594"/>
      <c r="K113" s="594"/>
      <c r="L113" s="594"/>
      <c r="M113" s="594"/>
      <c r="N113" s="595"/>
      <c r="O113" s="594"/>
      <c r="P113" s="594"/>
      <c r="Q113" s="594"/>
      <c r="R113" s="594"/>
      <c r="S113" s="594"/>
      <c r="T113" s="594"/>
      <c r="U113" s="594"/>
      <c r="V113" s="594"/>
      <c r="W113" s="594"/>
      <c r="X113" s="594"/>
      <c r="Y113" s="595"/>
      <c r="Z113" s="604"/>
      <c r="AA113" s="605"/>
      <c r="AB113" s="605"/>
      <c r="AC113" s="606"/>
      <c r="AD113" s="607"/>
      <c r="AE113" s="608"/>
      <c r="AF113" s="608"/>
      <c r="AG113" s="440"/>
      <c r="AH113" s="440"/>
      <c r="AI113" s="440"/>
      <c r="AJ113" s="584"/>
      <c r="AK113" s="609"/>
      <c r="AL113" s="607"/>
      <c r="AM113" s="607"/>
      <c r="AN113" s="608"/>
      <c r="AO113" s="608"/>
      <c r="AP113" s="440"/>
      <c r="AQ113" s="609"/>
    </row>
    <row r="114" spans="1:43" ht="24" x14ac:dyDescent="0.2">
      <c r="A114" s="602"/>
      <c r="B114" s="603" t="s">
        <v>451</v>
      </c>
      <c r="C114" s="593"/>
      <c r="D114" s="594"/>
      <c r="E114" s="594"/>
      <c r="F114" s="594"/>
      <c r="G114" s="594"/>
      <c r="H114" s="594"/>
      <c r="I114" s="594"/>
      <c r="J114" s="594"/>
      <c r="K114" s="594"/>
      <c r="L114" s="594"/>
      <c r="M114" s="594"/>
      <c r="N114" s="595"/>
      <c r="O114" s="594"/>
      <c r="P114" s="594"/>
      <c r="Q114" s="594"/>
      <c r="R114" s="594"/>
      <c r="S114" s="594"/>
      <c r="T114" s="594"/>
      <c r="U114" s="594"/>
      <c r="V114" s="594"/>
      <c r="W114" s="594"/>
      <c r="X114" s="594"/>
      <c r="Y114" s="595"/>
      <c r="Z114" s="604"/>
      <c r="AA114" s="605"/>
      <c r="AB114" s="605"/>
      <c r="AC114" s="606"/>
      <c r="AD114" s="607"/>
      <c r="AE114" s="608"/>
      <c r="AF114" s="608"/>
      <c r="AG114" s="440"/>
      <c r="AH114" s="440"/>
      <c r="AI114" s="440"/>
      <c r="AJ114" s="584"/>
      <c r="AK114" s="609"/>
      <c r="AL114" s="607"/>
      <c r="AM114" s="607"/>
      <c r="AN114" s="608"/>
      <c r="AO114" s="608"/>
      <c r="AP114" s="440"/>
      <c r="AQ114" s="609"/>
    </row>
    <row r="115" spans="1:43" x14ac:dyDescent="0.2">
      <c r="A115" s="602"/>
      <c r="B115" s="603" t="s">
        <v>453</v>
      </c>
      <c r="C115" s="593"/>
      <c r="D115" s="594"/>
      <c r="E115" s="594"/>
      <c r="F115" s="594"/>
      <c r="G115" s="594"/>
      <c r="H115" s="594"/>
      <c r="I115" s="594"/>
      <c r="J115" s="594"/>
      <c r="K115" s="594"/>
      <c r="L115" s="594"/>
      <c r="M115" s="594"/>
      <c r="N115" s="595"/>
      <c r="O115" s="594"/>
      <c r="P115" s="594"/>
      <c r="Q115" s="594"/>
      <c r="R115" s="594"/>
      <c r="S115" s="594"/>
      <c r="T115" s="594"/>
      <c r="U115" s="594"/>
      <c r="V115" s="594"/>
      <c r="W115" s="594"/>
      <c r="X115" s="594"/>
      <c r="Y115" s="595"/>
      <c r="Z115" s="604"/>
      <c r="AA115" s="605"/>
      <c r="AB115" s="605"/>
      <c r="AC115" s="606"/>
      <c r="AD115" s="607"/>
      <c r="AE115" s="608"/>
      <c r="AF115" s="608"/>
      <c r="AG115" s="440"/>
      <c r="AH115" s="440"/>
      <c r="AI115" s="440"/>
      <c r="AJ115" s="584"/>
      <c r="AK115" s="609"/>
      <c r="AL115" s="607"/>
      <c r="AM115" s="607"/>
      <c r="AN115" s="608"/>
      <c r="AO115" s="608"/>
      <c r="AP115" s="440"/>
      <c r="AQ115" s="609"/>
    </row>
    <row r="116" spans="1:43" x14ac:dyDescent="0.2">
      <c r="A116" s="591" t="s">
        <v>148</v>
      </c>
      <c r="B116" s="592"/>
      <c r="C116" s="615" t="s">
        <v>678</v>
      </c>
      <c r="D116" s="616" t="s">
        <v>678</v>
      </c>
      <c r="E116" s="616" t="s">
        <v>678</v>
      </c>
      <c r="F116" s="616" t="s">
        <v>678</v>
      </c>
      <c r="G116" s="616" t="s">
        <v>678</v>
      </c>
      <c r="H116" s="616" t="s">
        <v>678</v>
      </c>
      <c r="I116" s="616" t="s">
        <v>678</v>
      </c>
      <c r="J116" s="616" t="s">
        <v>678</v>
      </c>
      <c r="K116" s="616" t="s">
        <v>678</v>
      </c>
      <c r="L116" s="616" t="s">
        <v>678</v>
      </c>
      <c r="M116" s="616" t="s">
        <v>678</v>
      </c>
      <c r="N116" s="617" t="s">
        <v>678</v>
      </c>
      <c r="O116" s="616" t="s">
        <v>678</v>
      </c>
      <c r="P116" s="616" t="s">
        <v>678</v>
      </c>
      <c r="Q116" s="616" t="s">
        <v>678</v>
      </c>
      <c r="R116" s="616" t="s">
        <v>678</v>
      </c>
      <c r="S116" s="616" t="s">
        <v>678</v>
      </c>
      <c r="T116" s="616" t="s">
        <v>678</v>
      </c>
      <c r="U116" s="616" t="s">
        <v>678</v>
      </c>
      <c r="V116" s="616" t="s">
        <v>678</v>
      </c>
      <c r="W116" s="616" t="s">
        <v>678</v>
      </c>
      <c r="X116" s="616" t="s">
        <v>678</v>
      </c>
      <c r="Y116" s="617" t="s">
        <v>678</v>
      </c>
      <c r="Z116" s="618"/>
      <c r="AA116" s="619"/>
      <c r="AB116" s="619"/>
      <c r="AC116" s="620"/>
      <c r="AD116" s="599">
        <v>600</v>
      </c>
      <c r="AE116" s="600">
        <v>705</v>
      </c>
      <c r="AF116" s="885">
        <v>960</v>
      </c>
      <c r="AG116" s="883">
        <f t="shared" si="0"/>
        <v>576000</v>
      </c>
      <c r="AH116" s="886">
        <f t="shared" si="1"/>
        <v>676800</v>
      </c>
      <c r="AI116" s="883">
        <f t="shared" si="2"/>
        <v>100800</v>
      </c>
      <c r="AJ116" s="887"/>
      <c r="AK116" s="621"/>
      <c r="AL116" s="599"/>
      <c r="AM116" s="599"/>
      <c r="AN116" s="600"/>
      <c r="AO116" s="600"/>
      <c r="AP116" s="440">
        <v>0</v>
      </c>
      <c r="AQ116" s="621"/>
    </row>
    <row r="117" spans="1:43" x14ac:dyDescent="0.2">
      <c r="A117" s="591"/>
      <c r="B117" s="592"/>
      <c r="C117" s="615"/>
      <c r="D117" s="616"/>
      <c r="E117" s="616"/>
      <c r="F117" s="616"/>
      <c r="G117" s="616"/>
      <c r="H117" s="616"/>
      <c r="I117" s="616"/>
      <c r="J117" s="616"/>
      <c r="K117" s="616"/>
      <c r="L117" s="616"/>
      <c r="M117" s="616"/>
      <c r="N117" s="617"/>
      <c r="O117" s="616"/>
      <c r="P117" s="616"/>
      <c r="Q117" s="616"/>
      <c r="R117" s="616"/>
      <c r="S117" s="616"/>
      <c r="T117" s="616"/>
      <c r="U117" s="616"/>
      <c r="V117" s="616"/>
      <c r="W117" s="616"/>
      <c r="X117" s="616"/>
      <c r="Y117" s="617"/>
      <c r="Z117" s="618"/>
      <c r="AA117" s="619"/>
      <c r="AB117" s="619"/>
      <c r="AC117" s="620"/>
      <c r="AD117" s="599"/>
      <c r="AE117" s="600"/>
      <c r="AF117" s="600"/>
      <c r="AG117" s="440"/>
      <c r="AH117" s="440"/>
      <c r="AI117" s="440"/>
      <c r="AJ117" s="584"/>
      <c r="AK117" s="621"/>
      <c r="AL117" s="599"/>
      <c r="AM117" s="599"/>
      <c r="AN117" s="600"/>
      <c r="AO117" s="600"/>
      <c r="AP117" s="440"/>
      <c r="AQ117" s="621"/>
    </row>
    <row r="118" spans="1:43" ht="24.75" thickBot="1" x14ac:dyDescent="0.25">
      <c r="A118" s="614" t="s">
        <v>484</v>
      </c>
      <c r="B118" s="614"/>
      <c r="C118" s="255"/>
      <c r="D118" s="256"/>
      <c r="E118" s="256"/>
      <c r="F118" s="256" t="s">
        <v>678</v>
      </c>
      <c r="G118" s="256" t="s">
        <v>678</v>
      </c>
      <c r="H118" s="256" t="s">
        <v>678</v>
      </c>
      <c r="I118" s="256" t="s">
        <v>678</v>
      </c>
      <c r="J118" s="256" t="s">
        <v>678</v>
      </c>
      <c r="K118" s="256" t="s">
        <v>678</v>
      </c>
      <c r="L118" s="256" t="s">
        <v>678</v>
      </c>
      <c r="M118" s="256" t="s">
        <v>678</v>
      </c>
      <c r="N118" s="257" t="s">
        <v>678</v>
      </c>
      <c r="O118" s="256" t="s">
        <v>678</v>
      </c>
      <c r="P118" s="256" t="s">
        <v>678</v>
      </c>
      <c r="Q118" s="256"/>
      <c r="R118" s="256"/>
      <c r="S118" s="256"/>
      <c r="T118" s="256"/>
      <c r="U118" s="256"/>
      <c r="V118" s="256"/>
      <c r="W118" s="256"/>
      <c r="X118" s="256"/>
      <c r="Y118" s="257"/>
      <c r="Z118" s="481"/>
      <c r="AA118" s="482"/>
      <c r="AB118" s="482"/>
      <c r="AC118" s="483"/>
      <c r="AD118" s="443">
        <v>80</v>
      </c>
      <c r="AE118" s="225">
        <v>95</v>
      </c>
      <c r="AF118" s="882">
        <v>960</v>
      </c>
      <c r="AG118" s="888">
        <f t="shared" si="0"/>
        <v>76800</v>
      </c>
      <c r="AH118" s="888">
        <f t="shared" si="1"/>
        <v>91200</v>
      </c>
      <c r="AI118" s="888">
        <f t="shared" si="2"/>
        <v>14400</v>
      </c>
      <c r="AJ118" s="889">
        <v>5500</v>
      </c>
      <c r="AK118" s="445"/>
      <c r="AL118" s="443"/>
      <c r="AM118" s="443"/>
      <c r="AN118" s="225"/>
      <c r="AO118" s="225"/>
      <c r="AP118" s="440">
        <f t="shared" si="3"/>
        <v>0</v>
      </c>
      <c r="AQ118" s="445"/>
    </row>
    <row r="119" spans="1:43" ht="12.75" thickBot="1" x14ac:dyDescent="0.25">
      <c r="A119" s="205" t="s">
        <v>149</v>
      </c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475"/>
      <c r="AA119" s="475"/>
      <c r="AB119" s="475"/>
      <c r="AC119" s="475">
        <f t="shared" ref="AC119:AJ119" si="4">SUM(AC6:AC118)</f>
        <v>120000</v>
      </c>
      <c r="AD119" s="220">
        <f t="shared" si="4"/>
        <v>10831</v>
      </c>
      <c r="AE119" s="220">
        <f t="shared" si="4"/>
        <v>11582</v>
      </c>
      <c r="AF119" s="220">
        <f t="shared" si="4"/>
        <v>6720</v>
      </c>
      <c r="AG119" s="222">
        <f t="shared" si="4"/>
        <v>10517760</v>
      </c>
      <c r="AH119" s="222">
        <f>SUM(AH6:AH118)</f>
        <v>11238720</v>
      </c>
      <c r="AI119" s="222">
        <f t="shared" si="4"/>
        <v>720960</v>
      </c>
      <c r="AJ119" s="222">
        <f t="shared" si="4"/>
        <v>1037000</v>
      </c>
      <c r="AK119" s="236"/>
      <c r="AL119" s="220"/>
      <c r="AM119" s="220">
        <f>SUM(AM6:AM118)</f>
        <v>0</v>
      </c>
      <c r="AN119" s="220">
        <f>SUM(AN6:AN118)</f>
        <v>0</v>
      </c>
      <c r="AO119" s="220">
        <f>SUM(AO6:AO118)</f>
        <v>0</v>
      </c>
      <c r="AP119" s="222">
        <f>SUM(AP6:AP118)</f>
        <v>0</v>
      </c>
      <c r="AQ119" s="222"/>
    </row>
    <row r="120" spans="1:43" x14ac:dyDescent="0.2">
      <c r="AC120" s="116" t="s">
        <v>686</v>
      </c>
      <c r="AD120" s="116">
        <f>AVERAGE(AD119:AE119)</f>
        <v>11206.5</v>
      </c>
    </row>
    <row r="122" spans="1:43" ht="15.75" x14ac:dyDescent="0.25">
      <c r="AG122" s="123"/>
    </row>
  </sheetData>
  <mergeCells count="7">
    <mergeCell ref="AQ4:AQ5"/>
    <mergeCell ref="A1:B1"/>
    <mergeCell ref="C1:AQ1"/>
    <mergeCell ref="Z2:AK2"/>
    <mergeCell ref="AL2:AQ2"/>
    <mergeCell ref="Z3:AC3"/>
    <mergeCell ref="AD3:AK3"/>
  </mergeCells>
  <conditionalFormatting sqref="C6:AC118">
    <cfRule type="colorScale" priority="1">
      <colorScale>
        <cfvo type="num" val="0"/>
        <cfvo type="num" val="1"/>
        <color theme="0"/>
        <color theme="2" tint="-0.249977111117893"/>
      </colorScale>
    </cfRule>
  </conditionalFormatting>
  <pageMargins left="0.7" right="0.7" top="0.75" bottom="0.75" header="0.3" footer="0.3"/>
  <pageSetup paperSize="9" scale="1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CC"/>
  </sheetPr>
  <dimension ref="A1:AQ122"/>
  <sheetViews>
    <sheetView showGridLines="0" topLeftCell="D1" zoomScaleNormal="100" zoomScaleSheetLayoutView="90" workbookViewId="0">
      <pane ySplit="5" topLeftCell="A93" activePane="bottomLeft" state="frozen"/>
      <selection activeCell="C47" sqref="C47"/>
      <selection pane="bottomLeft" activeCell="C47" sqref="C47"/>
    </sheetView>
  </sheetViews>
  <sheetFormatPr defaultColWidth="8.5703125" defaultRowHeight="12" x14ac:dyDescent="0.2"/>
  <cols>
    <col min="1" max="1" width="36.42578125" style="116" customWidth="1"/>
    <col min="2" max="2" width="61.5703125" style="116" hidden="1" customWidth="1"/>
    <col min="3" max="3" width="3.42578125" style="116" hidden="1" customWidth="1"/>
    <col min="4" max="24" width="3.5703125" style="116" hidden="1" customWidth="1"/>
    <col min="25" max="25" width="4.42578125" style="116" hidden="1" customWidth="1"/>
    <col min="26" max="28" width="16.42578125" style="116" customWidth="1"/>
    <col min="29" max="29" width="18.140625" style="116" customWidth="1"/>
    <col min="30" max="30" width="9" style="116" customWidth="1"/>
    <col min="31" max="31" width="9.140625" style="116" customWidth="1"/>
    <col min="32" max="32" width="9" style="116" customWidth="1"/>
    <col min="33" max="33" width="10.5703125" style="117" customWidth="1"/>
    <col min="34" max="36" width="10.5703125" style="116" customWidth="1"/>
    <col min="37" max="37" width="52.140625" style="116" customWidth="1"/>
    <col min="38" max="38" width="51.5703125" style="116" customWidth="1"/>
    <col min="39" max="42" width="8.5703125" style="116"/>
    <col min="43" max="43" width="18.85546875" style="116" customWidth="1"/>
    <col min="44" max="16384" width="8.5703125" style="116"/>
  </cols>
  <sheetData>
    <row r="1" spans="1:43" ht="26.1" customHeight="1" thickBot="1" x14ac:dyDescent="0.3">
      <c r="A1" s="1374" t="s">
        <v>195</v>
      </c>
      <c r="B1" s="1375"/>
      <c r="C1" s="1374" t="s">
        <v>683</v>
      </c>
      <c r="D1" s="1376"/>
      <c r="E1" s="1376"/>
      <c r="F1" s="1376"/>
      <c r="G1" s="1376"/>
      <c r="H1" s="1376"/>
      <c r="I1" s="1376"/>
      <c r="J1" s="1376"/>
      <c r="K1" s="1376"/>
      <c r="L1" s="1376"/>
      <c r="M1" s="1376"/>
      <c r="N1" s="1376"/>
      <c r="O1" s="1376"/>
      <c r="P1" s="1376"/>
      <c r="Q1" s="1376"/>
      <c r="R1" s="1376"/>
      <c r="S1" s="1376"/>
      <c r="T1" s="1376"/>
      <c r="U1" s="1376"/>
      <c r="V1" s="1376"/>
      <c r="W1" s="1376"/>
      <c r="X1" s="1376"/>
      <c r="Y1" s="1376"/>
      <c r="Z1" s="1376"/>
      <c r="AA1" s="1376"/>
      <c r="AB1" s="1376"/>
      <c r="AC1" s="1376"/>
      <c r="AD1" s="1376"/>
      <c r="AE1" s="1376"/>
      <c r="AF1" s="1376"/>
      <c r="AG1" s="1376"/>
      <c r="AH1" s="1376"/>
      <c r="AI1" s="1376"/>
      <c r="AJ1" s="1376"/>
      <c r="AK1" s="1376"/>
      <c r="AL1" s="1376"/>
      <c r="AM1" s="1376"/>
      <c r="AN1" s="1376"/>
      <c r="AO1" s="1376"/>
      <c r="AP1" s="1376"/>
      <c r="AQ1" s="1376"/>
    </row>
    <row r="2" spans="1:43" ht="12.75" thickBot="1" x14ac:dyDescent="0.25">
      <c r="A2" s="213"/>
      <c r="B2" s="212"/>
      <c r="C2" s="214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5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5"/>
      <c r="Z2" s="1382" t="s">
        <v>228</v>
      </c>
      <c r="AA2" s="1383"/>
      <c r="AB2" s="1383"/>
      <c r="AC2" s="1383"/>
      <c r="AD2" s="1383"/>
      <c r="AE2" s="1383"/>
      <c r="AF2" s="1383"/>
      <c r="AG2" s="1383"/>
      <c r="AH2" s="1383"/>
      <c r="AI2" s="1383"/>
      <c r="AJ2" s="1383"/>
      <c r="AK2" s="1384"/>
      <c r="AL2" s="1377" t="s">
        <v>227</v>
      </c>
      <c r="AM2" s="1378"/>
      <c r="AN2" s="1378"/>
      <c r="AO2" s="1378"/>
      <c r="AP2" s="1378"/>
      <c r="AQ2" s="1379"/>
    </row>
    <row r="3" spans="1:43" ht="11.1" customHeight="1" thickBot="1" x14ac:dyDescent="0.25">
      <c r="A3" s="242"/>
      <c r="B3" s="240"/>
      <c r="C3" s="241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39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39"/>
      <c r="Z3" s="1377" t="s">
        <v>281</v>
      </c>
      <c r="AA3" s="1378"/>
      <c r="AB3" s="1378"/>
      <c r="AC3" s="1378"/>
      <c r="AD3" s="1377" t="s">
        <v>282</v>
      </c>
      <c r="AE3" s="1378"/>
      <c r="AF3" s="1378"/>
      <c r="AG3" s="1378"/>
      <c r="AH3" s="1378"/>
      <c r="AI3" s="1378"/>
      <c r="AJ3" s="1378"/>
      <c r="AK3" s="1379"/>
      <c r="AL3" s="218"/>
      <c r="AM3" s="219"/>
      <c r="AN3" s="219"/>
      <c r="AO3" s="219"/>
      <c r="AP3" s="219"/>
      <c r="AQ3" s="210"/>
    </row>
    <row r="4" spans="1:43" ht="48" customHeight="1" x14ac:dyDescent="0.2">
      <c r="A4" s="242" t="s">
        <v>196</v>
      </c>
      <c r="B4" s="497" t="s">
        <v>293</v>
      </c>
      <c r="C4" s="241" t="s">
        <v>119</v>
      </c>
      <c r="D4" s="240" t="s">
        <v>120</v>
      </c>
      <c r="E4" s="240" t="s">
        <v>121</v>
      </c>
      <c r="F4" s="240" t="s">
        <v>122</v>
      </c>
      <c r="G4" s="240" t="s">
        <v>123</v>
      </c>
      <c r="H4" s="240" t="s">
        <v>124</v>
      </c>
      <c r="I4" s="240" t="s">
        <v>125</v>
      </c>
      <c r="J4" s="240" t="s">
        <v>126</v>
      </c>
      <c r="K4" s="240" t="s">
        <v>127</v>
      </c>
      <c r="L4" s="240" t="s">
        <v>128</v>
      </c>
      <c r="M4" s="240" t="s">
        <v>129</v>
      </c>
      <c r="N4" s="239" t="s">
        <v>130</v>
      </c>
      <c r="O4" s="240" t="s">
        <v>131</v>
      </c>
      <c r="P4" s="240" t="s">
        <v>132</v>
      </c>
      <c r="Q4" s="240" t="s">
        <v>133</v>
      </c>
      <c r="R4" s="240" t="s">
        <v>134</v>
      </c>
      <c r="S4" s="240" t="s">
        <v>135</v>
      </c>
      <c r="T4" s="240" t="s">
        <v>136</v>
      </c>
      <c r="U4" s="240" t="s">
        <v>137</v>
      </c>
      <c r="V4" s="240" t="s">
        <v>138</v>
      </c>
      <c r="W4" s="240" t="s">
        <v>139</v>
      </c>
      <c r="X4" s="240" t="s">
        <v>140</v>
      </c>
      <c r="Y4" s="239" t="s">
        <v>141</v>
      </c>
      <c r="Z4" s="214" t="s">
        <v>283</v>
      </c>
      <c r="AA4" s="212" t="s">
        <v>284</v>
      </c>
      <c r="AB4" s="212" t="s">
        <v>285</v>
      </c>
      <c r="AC4" s="212" t="s">
        <v>286</v>
      </c>
      <c r="AD4" s="216" t="s">
        <v>188</v>
      </c>
      <c r="AE4" s="217" t="s">
        <v>189</v>
      </c>
      <c r="AF4" s="217" t="s">
        <v>190</v>
      </c>
      <c r="AG4" s="210" t="s">
        <v>192</v>
      </c>
      <c r="AH4" s="210" t="s">
        <v>191</v>
      </c>
      <c r="AI4" s="210" t="s">
        <v>150</v>
      </c>
      <c r="AJ4" s="476" t="s">
        <v>194</v>
      </c>
      <c r="AK4" s="476" t="s">
        <v>197</v>
      </c>
      <c r="AL4" s="476" t="s">
        <v>226</v>
      </c>
      <c r="AM4" s="216" t="s">
        <v>188</v>
      </c>
      <c r="AN4" s="217" t="s">
        <v>189</v>
      </c>
      <c r="AO4" s="217" t="s">
        <v>190</v>
      </c>
      <c r="AP4" s="210" t="s">
        <v>192</v>
      </c>
      <c r="AQ4" s="1380" t="s">
        <v>225</v>
      </c>
    </row>
    <row r="5" spans="1:43" ht="8.25" customHeight="1" thickBot="1" x14ac:dyDescent="0.25">
      <c r="A5" s="118"/>
      <c r="B5" s="119"/>
      <c r="C5" s="120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21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21"/>
      <c r="Z5" s="120"/>
      <c r="AA5" s="119"/>
      <c r="AB5" s="119"/>
      <c r="AC5" s="119"/>
      <c r="AD5" s="218"/>
      <c r="AE5" s="219"/>
      <c r="AF5" s="219"/>
      <c r="AG5" s="221"/>
      <c r="AH5" s="221"/>
      <c r="AI5" s="221"/>
      <c r="AJ5" s="584"/>
      <c r="AK5" s="238"/>
      <c r="AL5" s="223"/>
      <c r="AM5" s="218"/>
      <c r="AN5" s="219"/>
      <c r="AO5" s="219"/>
      <c r="AP5" s="221"/>
      <c r="AQ5" s="1381"/>
    </row>
    <row r="6" spans="1:43" ht="24" x14ac:dyDescent="0.2">
      <c r="A6" s="591" t="s">
        <v>672</v>
      </c>
      <c r="B6" s="592" t="s">
        <v>375</v>
      </c>
      <c r="C6" s="593" t="s">
        <v>680</v>
      </c>
      <c r="D6" s="594" t="s">
        <v>680</v>
      </c>
      <c r="E6" s="594" t="s">
        <v>680</v>
      </c>
      <c r="F6" s="594" t="s">
        <v>680</v>
      </c>
      <c r="G6" s="594" t="s">
        <v>680</v>
      </c>
      <c r="H6" s="594" t="s">
        <v>680</v>
      </c>
      <c r="I6" s="594" t="s">
        <v>680</v>
      </c>
      <c r="J6" s="594" t="s">
        <v>680</v>
      </c>
      <c r="K6" s="594" t="s">
        <v>680</v>
      </c>
      <c r="L6" s="594" t="s">
        <v>680</v>
      </c>
      <c r="M6" s="594" t="s">
        <v>680</v>
      </c>
      <c r="N6" s="595" t="s">
        <v>680</v>
      </c>
      <c r="O6" s="594" t="s">
        <v>680</v>
      </c>
      <c r="P6" s="594" t="s">
        <v>680</v>
      </c>
      <c r="Q6" s="594" t="s">
        <v>680</v>
      </c>
      <c r="R6" s="594" t="s">
        <v>680</v>
      </c>
      <c r="S6" s="594" t="s">
        <v>680</v>
      </c>
      <c r="T6" s="594" t="s">
        <v>680</v>
      </c>
      <c r="U6" s="594" t="s">
        <v>680</v>
      </c>
      <c r="V6" s="594" t="s">
        <v>680</v>
      </c>
      <c r="W6" s="594" t="s">
        <v>680</v>
      </c>
      <c r="X6" s="594" t="s">
        <v>680</v>
      </c>
      <c r="Y6" s="595" t="s">
        <v>680</v>
      </c>
      <c r="Z6" s="596" t="s">
        <v>679</v>
      </c>
      <c r="AA6" s="890">
        <v>2</v>
      </c>
      <c r="AB6" s="890">
        <v>22000</v>
      </c>
      <c r="AC6" s="891">
        <f>AB6*AA6</f>
        <v>44000</v>
      </c>
      <c r="AD6" s="599">
        <v>8062</v>
      </c>
      <c r="AE6" s="600">
        <v>8530</v>
      </c>
      <c r="AF6" s="600">
        <v>880</v>
      </c>
      <c r="AG6" s="440">
        <f t="shared" ref="AG6:AG118" si="0">AD6*AF6+AC6</f>
        <v>7138560</v>
      </c>
      <c r="AH6" s="440">
        <f t="shared" ref="AH6:AH118" si="1">AE6*AF6+AC6</f>
        <v>7550400</v>
      </c>
      <c r="AI6" s="440">
        <f t="shared" ref="AI6:AI118" si="2">AH6-AG6</f>
        <v>411840</v>
      </c>
      <c r="AJ6" s="584">
        <v>1095072</v>
      </c>
      <c r="AK6" s="601"/>
      <c r="AL6" s="441"/>
      <c r="AM6" s="599"/>
      <c r="AN6" s="600"/>
      <c r="AO6" s="600"/>
      <c r="AP6" s="440">
        <f t="shared" ref="AP6:AP118" si="3">AM6*AO6</f>
        <v>0</v>
      </c>
      <c r="AQ6" s="601"/>
    </row>
    <row r="7" spans="1:43" x14ac:dyDescent="0.2">
      <c r="A7" s="602"/>
      <c r="B7" s="603" t="s">
        <v>414</v>
      </c>
      <c r="C7" s="593"/>
      <c r="D7" s="594"/>
      <c r="E7" s="594"/>
      <c r="F7" s="594"/>
      <c r="G7" s="594"/>
      <c r="H7" s="594"/>
      <c r="I7" s="594"/>
      <c r="J7" s="594"/>
      <c r="K7" s="594"/>
      <c r="L7" s="594"/>
      <c r="M7" s="594"/>
      <c r="N7" s="595"/>
      <c r="O7" s="594"/>
      <c r="P7" s="594"/>
      <c r="Q7" s="594"/>
      <c r="R7" s="594"/>
      <c r="S7" s="594"/>
      <c r="T7" s="594"/>
      <c r="U7" s="594"/>
      <c r="V7" s="594"/>
      <c r="W7" s="594"/>
      <c r="X7" s="594"/>
      <c r="Y7" s="595"/>
      <c r="Z7" s="604" t="s">
        <v>681</v>
      </c>
      <c r="AA7" s="880">
        <v>2</v>
      </c>
      <c r="AB7" s="880">
        <v>10200</v>
      </c>
      <c r="AC7" s="881">
        <f>AB7*AA7</f>
        <v>20400</v>
      </c>
      <c r="AD7" s="607"/>
      <c r="AE7" s="608"/>
      <c r="AF7" s="608"/>
      <c r="AG7" s="440"/>
      <c r="AH7" s="440"/>
      <c r="AI7" s="440"/>
      <c r="AJ7" s="584"/>
      <c r="AK7" s="609"/>
      <c r="AL7" s="441"/>
      <c r="AM7" s="607"/>
      <c r="AN7" s="608"/>
      <c r="AO7" s="608"/>
      <c r="AP7" s="440"/>
      <c r="AQ7" s="609"/>
    </row>
    <row r="8" spans="1:43" x14ac:dyDescent="0.2">
      <c r="A8" s="602"/>
      <c r="B8" s="603" t="s">
        <v>376</v>
      </c>
      <c r="C8" s="593"/>
      <c r="D8" s="594"/>
      <c r="E8" s="594"/>
      <c r="F8" s="594"/>
      <c r="G8" s="594"/>
      <c r="H8" s="594"/>
      <c r="I8" s="594"/>
      <c r="J8" s="594"/>
      <c r="K8" s="594"/>
      <c r="L8" s="594"/>
      <c r="M8" s="594"/>
      <c r="N8" s="595"/>
      <c r="O8" s="594"/>
      <c r="P8" s="594"/>
      <c r="Q8" s="594"/>
      <c r="R8" s="594"/>
      <c r="S8" s="594"/>
      <c r="T8" s="594"/>
      <c r="U8" s="594"/>
      <c r="V8" s="594"/>
      <c r="W8" s="594"/>
      <c r="X8" s="594"/>
      <c r="Y8" s="595"/>
      <c r="Z8" s="604" t="s">
        <v>682</v>
      </c>
      <c r="AA8" s="880">
        <v>250</v>
      </c>
      <c r="AB8" s="880">
        <v>160</v>
      </c>
      <c r="AC8" s="881">
        <f>AB8*AA8</f>
        <v>40000</v>
      </c>
      <c r="AD8" s="607"/>
      <c r="AE8" s="608"/>
      <c r="AF8" s="608"/>
      <c r="AG8" s="440"/>
      <c r="AH8" s="440"/>
      <c r="AI8" s="440"/>
      <c r="AJ8" s="584"/>
      <c r="AK8" s="609"/>
      <c r="AL8" s="441"/>
      <c r="AM8" s="607"/>
      <c r="AN8" s="608"/>
      <c r="AO8" s="608"/>
      <c r="AP8" s="440"/>
      <c r="AQ8" s="609"/>
    </row>
    <row r="9" spans="1:43" x14ac:dyDescent="0.2">
      <c r="A9" s="602"/>
      <c r="B9" s="603" t="s">
        <v>417</v>
      </c>
      <c r="C9" s="593"/>
      <c r="D9" s="594"/>
      <c r="E9" s="594"/>
      <c r="F9" s="594"/>
      <c r="G9" s="594"/>
      <c r="H9" s="594"/>
      <c r="I9" s="594"/>
      <c r="J9" s="594"/>
      <c r="K9" s="594"/>
      <c r="L9" s="594"/>
      <c r="M9" s="594"/>
      <c r="N9" s="595"/>
      <c r="O9" s="594"/>
      <c r="P9" s="594"/>
      <c r="Q9" s="594"/>
      <c r="R9" s="594"/>
      <c r="S9" s="594"/>
      <c r="T9" s="594"/>
      <c r="U9" s="594"/>
      <c r="V9" s="594"/>
      <c r="W9" s="594"/>
      <c r="X9" s="594"/>
      <c r="Y9" s="595"/>
      <c r="Z9" s="604"/>
      <c r="AA9" s="605"/>
      <c r="AB9" s="605"/>
      <c r="AC9" s="606"/>
      <c r="AD9" s="607"/>
      <c r="AE9" s="608"/>
      <c r="AF9" s="608"/>
      <c r="AG9" s="440"/>
      <c r="AH9" s="440"/>
      <c r="AI9" s="440"/>
      <c r="AJ9" s="584"/>
      <c r="AK9" s="609"/>
      <c r="AL9" s="441"/>
      <c r="AM9" s="607"/>
      <c r="AN9" s="608"/>
      <c r="AO9" s="608"/>
      <c r="AP9" s="440"/>
      <c r="AQ9" s="609"/>
    </row>
    <row r="10" spans="1:43" ht="24" hidden="1" x14ac:dyDescent="0.2">
      <c r="A10" s="602"/>
      <c r="B10" s="603" t="s">
        <v>377</v>
      </c>
      <c r="C10" s="593"/>
      <c r="D10" s="594"/>
      <c r="E10" s="594"/>
      <c r="F10" s="594"/>
      <c r="G10" s="594"/>
      <c r="H10" s="594"/>
      <c r="I10" s="594"/>
      <c r="J10" s="594"/>
      <c r="K10" s="594"/>
      <c r="L10" s="594"/>
      <c r="M10" s="594"/>
      <c r="N10" s="595"/>
      <c r="O10" s="594"/>
      <c r="P10" s="594"/>
      <c r="Q10" s="594"/>
      <c r="R10" s="594"/>
      <c r="S10" s="594"/>
      <c r="T10" s="594"/>
      <c r="U10" s="594"/>
      <c r="V10" s="594"/>
      <c r="W10" s="594"/>
      <c r="X10" s="594"/>
      <c r="Y10" s="595"/>
      <c r="Z10" s="604"/>
      <c r="AA10" s="605"/>
      <c r="AB10" s="605"/>
      <c r="AC10" s="606"/>
      <c r="AD10" s="607"/>
      <c r="AE10" s="608"/>
      <c r="AF10" s="608"/>
      <c r="AG10" s="440"/>
      <c r="AH10" s="440"/>
      <c r="AI10" s="440"/>
      <c r="AJ10" s="584"/>
      <c r="AK10" s="609"/>
      <c r="AL10" s="441"/>
      <c r="AM10" s="607"/>
      <c r="AN10" s="608"/>
      <c r="AO10" s="608"/>
      <c r="AP10" s="440"/>
      <c r="AQ10" s="609"/>
    </row>
    <row r="11" spans="1:43" ht="48" hidden="1" x14ac:dyDescent="0.2">
      <c r="A11" s="602"/>
      <c r="B11" s="603" t="s">
        <v>415</v>
      </c>
      <c r="C11" s="593"/>
      <c r="D11" s="594"/>
      <c r="E11" s="594"/>
      <c r="F11" s="594"/>
      <c r="G11" s="594"/>
      <c r="H11" s="594"/>
      <c r="I11" s="594"/>
      <c r="J11" s="594"/>
      <c r="K11" s="594"/>
      <c r="L11" s="594"/>
      <c r="M11" s="594"/>
      <c r="N11" s="595"/>
      <c r="O11" s="594"/>
      <c r="P11" s="594"/>
      <c r="Q11" s="594"/>
      <c r="R11" s="594"/>
      <c r="S11" s="594"/>
      <c r="T11" s="594"/>
      <c r="U11" s="594"/>
      <c r="V11" s="594"/>
      <c r="W11" s="594"/>
      <c r="X11" s="594"/>
      <c r="Y11" s="595"/>
      <c r="Z11" s="604"/>
      <c r="AA11" s="605"/>
      <c r="AB11" s="605"/>
      <c r="AC11" s="606"/>
      <c r="AD11" s="607"/>
      <c r="AE11" s="608"/>
      <c r="AF11" s="608"/>
      <c r="AG11" s="440"/>
      <c r="AH11" s="440"/>
      <c r="AI11" s="440"/>
      <c r="AJ11" s="584"/>
      <c r="AK11" s="609"/>
      <c r="AL11" s="441"/>
      <c r="AM11" s="607"/>
      <c r="AN11" s="608"/>
      <c r="AO11" s="608"/>
      <c r="AP11" s="440"/>
      <c r="AQ11" s="609"/>
    </row>
    <row r="12" spans="1:43" hidden="1" x14ac:dyDescent="0.2">
      <c r="A12" s="602"/>
      <c r="B12" s="603" t="s">
        <v>416</v>
      </c>
      <c r="C12" s="593"/>
      <c r="D12" s="594"/>
      <c r="E12" s="594"/>
      <c r="F12" s="594"/>
      <c r="G12" s="594"/>
      <c r="H12" s="594"/>
      <c r="I12" s="594"/>
      <c r="J12" s="594"/>
      <c r="K12" s="594"/>
      <c r="L12" s="594"/>
      <c r="M12" s="594"/>
      <c r="N12" s="595"/>
      <c r="O12" s="594"/>
      <c r="P12" s="594"/>
      <c r="Q12" s="594"/>
      <c r="R12" s="594"/>
      <c r="S12" s="594"/>
      <c r="T12" s="594"/>
      <c r="U12" s="594"/>
      <c r="V12" s="594"/>
      <c r="W12" s="594"/>
      <c r="X12" s="594"/>
      <c r="Y12" s="595"/>
      <c r="Z12" s="604"/>
      <c r="AA12" s="605"/>
      <c r="AB12" s="605"/>
      <c r="AC12" s="606"/>
      <c r="AD12" s="607"/>
      <c r="AE12" s="608"/>
      <c r="AF12" s="608"/>
      <c r="AG12" s="440"/>
      <c r="AH12" s="440"/>
      <c r="AI12" s="440"/>
      <c r="AJ12" s="584"/>
      <c r="AK12" s="609"/>
      <c r="AL12" s="441"/>
      <c r="AM12" s="607"/>
      <c r="AN12" s="608"/>
      <c r="AO12" s="608"/>
      <c r="AP12" s="440"/>
      <c r="AQ12" s="609"/>
    </row>
    <row r="13" spans="1:43" hidden="1" x14ac:dyDescent="0.2">
      <c r="A13" s="602"/>
      <c r="B13" s="603" t="s">
        <v>371</v>
      </c>
      <c r="C13" s="593"/>
      <c r="D13" s="594"/>
      <c r="E13" s="594"/>
      <c r="F13" s="594"/>
      <c r="G13" s="594"/>
      <c r="H13" s="594"/>
      <c r="I13" s="594"/>
      <c r="J13" s="594"/>
      <c r="K13" s="594"/>
      <c r="L13" s="594"/>
      <c r="M13" s="594"/>
      <c r="N13" s="595"/>
      <c r="O13" s="594"/>
      <c r="P13" s="594"/>
      <c r="Q13" s="594"/>
      <c r="R13" s="594"/>
      <c r="S13" s="594"/>
      <c r="T13" s="594"/>
      <c r="U13" s="594"/>
      <c r="V13" s="594"/>
      <c r="W13" s="594"/>
      <c r="X13" s="594"/>
      <c r="Y13" s="595"/>
      <c r="Z13" s="604"/>
      <c r="AA13" s="605"/>
      <c r="AB13" s="605"/>
      <c r="AC13" s="606"/>
      <c r="AD13" s="607"/>
      <c r="AE13" s="608"/>
      <c r="AF13" s="608"/>
      <c r="AG13" s="440"/>
      <c r="AH13" s="440"/>
      <c r="AI13" s="440"/>
      <c r="AJ13" s="584"/>
      <c r="AK13" s="609"/>
      <c r="AL13" s="441"/>
      <c r="AM13" s="607"/>
      <c r="AN13" s="608"/>
      <c r="AO13" s="608"/>
      <c r="AP13" s="440"/>
      <c r="AQ13" s="609"/>
    </row>
    <row r="14" spans="1:43" hidden="1" x14ac:dyDescent="0.2">
      <c r="A14" s="602"/>
      <c r="B14" s="603" t="s">
        <v>378</v>
      </c>
      <c r="C14" s="593"/>
      <c r="D14" s="594"/>
      <c r="E14" s="594"/>
      <c r="F14" s="594"/>
      <c r="G14" s="594"/>
      <c r="H14" s="594"/>
      <c r="I14" s="594"/>
      <c r="J14" s="594"/>
      <c r="K14" s="594"/>
      <c r="L14" s="594"/>
      <c r="M14" s="594"/>
      <c r="N14" s="595"/>
      <c r="O14" s="594"/>
      <c r="P14" s="594"/>
      <c r="Q14" s="594"/>
      <c r="R14" s="594"/>
      <c r="S14" s="594"/>
      <c r="T14" s="594"/>
      <c r="U14" s="594"/>
      <c r="V14" s="594"/>
      <c r="W14" s="594"/>
      <c r="X14" s="594"/>
      <c r="Y14" s="595"/>
      <c r="Z14" s="604"/>
      <c r="AA14" s="605"/>
      <c r="AB14" s="605"/>
      <c r="AC14" s="606"/>
      <c r="AD14" s="607"/>
      <c r="AE14" s="608"/>
      <c r="AF14" s="608"/>
      <c r="AG14" s="440"/>
      <c r="AH14" s="440"/>
      <c r="AI14" s="440"/>
      <c r="AJ14" s="584"/>
      <c r="AK14" s="609"/>
      <c r="AL14" s="441"/>
      <c r="AM14" s="607"/>
      <c r="AN14" s="608"/>
      <c r="AO14" s="608"/>
      <c r="AP14" s="440"/>
      <c r="AQ14" s="609"/>
    </row>
    <row r="15" spans="1:43" ht="60" hidden="1" x14ac:dyDescent="0.2">
      <c r="A15" s="602"/>
      <c r="B15" s="603" t="s">
        <v>372</v>
      </c>
      <c r="C15" s="593"/>
      <c r="D15" s="594"/>
      <c r="E15" s="594"/>
      <c r="F15" s="594"/>
      <c r="G15" s="594"/>
      <c r="H15" s="594"/>
      <c r="I15" s="594"/>
      <c r="J15" s="594"/>
      <c r="K15" s="594"/>
      <c r="L15" s="594"/>
      <c r="M15" s="594"/>
      <c r="N15" s="595"/>
      <c r="O15" s="594"/>
      <c r="P15" s="594"/>
      <c r="Q15" s="594"/>
      <c r="R15" s="594"/>
      <c r="S15" s="594"/>
      <c r="T15" s="594"/>
      <c r="U15" s="594"/>
      <c r="V15" s="594"/>
      <c r="W15" s="594"/>
      <c r="X15" s="594"/>
      <c r="Y15" s="595"/>
      <c r="Z15" s="604"/>
      <c r="AA15" s="605"/>
      <c r="AB15" s="605"/>
      <c r="AC15" s="606"/>
      <c r="AD15" s="607"/>
      <c r="AE15" s="608"/>
      <c r="AF15" s="608"/>
      <c r="AG15" s="440"/>
      <c r="AH15" s="440"/>
      <c r="AI15" s="440"/>
      <c r="AJ15" s="584"/>
      <c r="AK15" s="609"/>
      <c r="AL15" s="441"/>
      <c r="AM15" s="607"/>
      <c r="AN15" s="608"/>
      <c r="AO15" s="608"/>
      <c r="AP15" s="440"/>
      <c r="AQ15" s="609"/>
    </row>
    <row r="16" spans="1:43" hidden="1" x14ac:dyDescent="0.2">
      <c r="A16" s="602"/>
      <c r="B16" s="603" t="s">
        <v>379</v>
      </c>
      <c r="C16" s="593"/>
      <c r="D16" s="594"/>
      <c r="E16" s="594"/>
      <c r="F16" s="594"/>
      <c r="G16" s="594"/>
      <c r="H16" s="594"/>
      <c r="I16" s="594"/>
      <c r="J16" s="594"/>
      <c r="K16" s="594"/>
      <c r="L16" s="594"/>
      <c r="M16" s="594"/>
      <c r="N16" s="595"/>
      <c r="O16" s="594"/>
      <c r="P16" s="594"/>
      <c r="Q16" s="594"/>
      <c r="R16" s="594"/>
      <c r="S16" s="594"/>
      <c r="T16" s="594"/>
      <c r="U16" s="594"/>
      <c r="V16" s="594"/>
      <c r="W16" s="594"/>
      <c r="X16" s="594"/>
      <c r="Y16" s="595"/>
      <c r="Z16" s="604"/>
      <c r="AA16" s="605"/>
      <c r="AB16" s="605"/>
      <c r="AC16" s="606"/>
      <c r="AD16" s="607"/>
      <c r="AE16" s="608"/>
      <c r="AF16" s="608"/>
      <c r="AG16" s="440"/>
      <c r="AH16" s="440"/>
      <c r="AI16" s="440"/>
      <c r="AJ16" s="584"/>
      <c r="AK16" s="609"/>
      <c r="AL16" s="441"/>
      <c r="AM16" s="607"/>
      <c r="AN16" s="608"/>
      <c r="AO16" s="608"/>
      <c r="AP16" s="440"/>
      <c r="AQ16" s="609"/>
    </row>
    <row r="17" spans="1:43" hidden="1" x14ac:dyDescent="0.2">
      <c r="A17" s="602"/>
      <c r="B17" s="603" t="s">
        <v>373</v>
      </c>
      <c r="C17" s="593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5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5"/>
      <c r="Z17" s="604"/>
      <c r="AA17" s="605"/>
      <c r="AB17" s="605"/>
      <c r="AC17" s="606"/>
      <c r="AD17" s="607"/>
      <c r="AE17" s="608"/>
      <c r="AF17" s="608"/>
      <c r="AG17" s="440"/>
      <c r="AH17" s="440"/>
      <c r="AI17" s="440"/>
      <c r="AJ17" s="584"/>
      <c r="AK17" s="609"/>
      <c r="AL17" s="441"/>
      <c r="AM17" s="607"/>
      <c r="AN17" s="608"/>
      <c r="AO17" s="608"/>
      <c r="AP17" s="440"/>
      <c r="AQ17" s="609"/>
    </row>
    <row r="18" spans="1:43" hidden="1" x14ac:dyDescent="0.2">
      <c r="A18" s="602"/>
      <c r="B18" s="603" t="s">
        <v>380</v>
      </c>
      <c r="C18" s="593"/>
      <c r="D18" s="594"/>
      <c r="E18" s="594"/>
      <c r="F18" s="594"/>
      <c r="G18" s="594"/>
      <c r="H18" s="594"/>
      <c r="I18" s="594"/>
      <c r="J18" s="594"/>
      <c r="K18" s="594"/>
      <c r="L18" s="594"/>
      <c r="M18" s="594"/>
      <c r="N18" s="595"/>
      <c r="O18" s="594"/>
      <c r="P18" s="594"/>
      <c r="Q18" s="594"/>
      <c r="R18" s="594"/>
      <c r="S18" s="594"/>
      <c r="T18" s="594"/>
      <c r="U18" s="594"/>
      <c r="V18" s="594"/>
      <c r="W18" s="594"/>
      <c r="X18" s="594"/>
      <c r="Y18" s="595"/>
      <c r="Z18" s="604"/>
      <c r="AA18" s="605"/>
      <c r="AB18" s="605"/>
      <c r="AC18" s="606"/>
      <c r="AD18" s="607"/>
      <c r="AE18" s="608"/>
      <c r="AF18" s="608"/>
      <c r="AG18" s="440"/>
      <c r="AH18" s="440"/>
      <c r="AI18" s="440"/>
      <c r="AJ18" s="584"/>
      <c r="AK18" s="609"/>
      <c r="AL18" s="441"/>
      <c r="AM18" s="607"/>
      <c r="AN18" s="608"/>
      <c r="AO18" s="608"/>
      <c r="AP18" s="440"/>
      <c r="AQ18" s="609"/>
    </row>
    <row r="19" spans="1:43" ht="36" hidden="1" x14ac:dyDescent="0.2">
      <c r="A19" s="602"/>
      <c r="B19" s="603" t="s">
        <v>374</v>
      </c>
      <c r="C19" s="593"/>
      <c r="D19" s="594"/>
      <c r="E19" s="594"/>
      <c r="F19" s="594"/>
      <c r="G19" s="594"/>
      <c r="H19" s="594"/>
      <c r="I19" s="594"/>
      <c r="J19" s="594"/>
      <c r="K19" s="594"/>
      <c r="L19" s="594"/>
      <c r="M19" s="594"/>
      <c r="N19" s="595"/>
      <c r="O19" s="594"/>
      <c r="P19" s="594"/>
      <c r="Q19" s="594"/>
      <c r="R19" s="594"/>
      <c r="S19" s="594"/>
      <c r="T19" s="594"/>
      <c r="U19" s="594"/>
      <c r="V19" s="594"/>
      <c r="W19" s="594"/>
      <c r="X19" s="594"/>
      <c r="Y19" s="595"/>
      <c r="Z19" s="604"/>
      <c r="AA19" s="605"/>
      <c r="AB19" s="605"/>
      <c r="AC19" s="606"/>
      <c r="AD19" s="607"/>
      <c r="AE19" s="608"/>
      <c r="AF19" s="608"/>
      <c r="AG19" s="440"/>
      <c r="AH19" s="440"/>
      <c r="AI19" s="440"/>
      <c r="AJ19" s="584"/>
      <c r="AK19" s="609"/>
      <c r="AL19" s="441"/>
      <c r="AM19" s="607"/>
      <c r="AN19" s="608"/>
      <c r="AO19" s="608"/>
      <c r="AP19" s="440"/>
      <c r="AQ19" s="609"/>
    </row>
    <row r="20" spans="1:43" hidden="1" x14ac:dyDescent="0.2">
      <c r="A20" s="602"/>
      <c r="B20" s="603" t="s">
        <v>381</v>
      </c>
      <c r="C20" s="593"/>
      <c r="D20" s="594"/>
      <c r="E20" s="594"/>
      <c r="F20" s="594"/>
      <c r="G20" s="594"/>
      <c r="H20" s="594"/>
      <c r="I20" s="594"/>
      <c r="J20" s="594"/>
      <c r="K20" s="594"/>
      <c r="L20" s="594"/>
      <c r="M20" s="594"/>
      <c r="N20" s="595"/>
      <c r="O20" s="594"/>
      <c r="P20" s="594"/>
      <c r="Q20" s="594"/>
      <c r="R20" s="594"/>
      <c r="S20" s="594"/>
      <c r="T20" s="594"/>
      <c r="U20" s="594"/>
      <c r="V20" s="594"/>
      <c r="W20" s="594"/>
      <c r="X20" s="594"/>
      <c r="Y20" s="595"/>
      <c r="Z20" s="604"/>
      <c r="AA20" s="605"/>
      <c r="AB20" s="605"/>
      <c r="AC20" s="606"/>
      <c r="AD20" s="607"/>
      <c r="AE20" s="608"/>
      <c r="AF20" s="608"/>
      <c r="AG20" s="440"/>
      <c r="AH20" s="440"/>
      <c r="AI20" s="440"/>
      <c r="AJ20" s="584"/>
      <c r="AK20" s="609"/>
      <c r="AL20" s="441"/>
      <c r="AM20" s="607"/>
      <c r="AN20" s="608"/>
      <c r="AO20" s="608"/>
      <c r="AP20" s="440"/>
      <c r="AQ20" s="609"/>
    </row>
    <row r="21" spans="1:43" hidden="1" x14ac:dyDescent="0.2">
      <c r="A21" s="602"/>
      <c r="B21" s="603" t="s">
        <v>382</v>
      </c>
      <c r="C21" s="593"/>
      <c r="D21" s="594"/>
      <c r="E21" s="594"/>
      <c r="F21" s="594"/>
      <c r="G21" s="594"/>
      <c r="H21" s="594"/>
      <c r="I21" s="594"/>
      <c r="J21" s="594"/>
      <c r="K21" s="594"/>
      <c r="L21" s="594"/>
      <c r="M21" s="594"/>
      <c r="N21" s="595"/>
      <c r="O21" s="594"/>
      <c r="P21" s="594"/>
      <c r="Q21" s="594"/>
      <c r="R21" s="594"/>
      <c r="S21" s="594"/>
      <c r="T21" s="594"/>
      <c r="U21" s="594"/>
      <c r="V21" s="594"/>
      <c r="W21" s="594"/>
      <c r="X21" s="594"/>
      <c r="Y21" s="595"/>
      <c r="Z21" s="604"/>
      <c r="AA21" s="605"/>
      <c r="AB21" s="605"/>
      <c r="AC21" s="606"/>
      <c r="AD21" s="607"/>
      <c r="AE21" s="608"/>
      <c r="AF21" s="608"/>
      <c r="AG21" s="440"/>
      <c r="AH21" s="440"/>
      <c r="AI21" s="440"/>
      <c r="AJ21" s="584"/>
      <c r="AK21" s="609"/>
      <c r="AL21" s="441"/>
      <c r="AM21" s="607"/>
      <c r="AN21" s="608"/>
      <c r="AO21" s="608"/>
      <c r="AP21" s="440"/>
      <c r="AQ21" s="609"/>
    </row>
    <row r="22" spans="1:43" ht="24" hidden="1" x14ac:dyDescent="0.2">
      <c r="A22" s="602"/>
      <c r="B22" s="603" t="s">
        <v>383</v>
      </c>
      <c r="C22" s="593"/>
      <c r="D22" s="594"/>
      <c r="E22" s="594"/>
      <c r="F22" s="594"/>
      <c r="G22" s="594"/>
      <c r="H22" s="594"/>
      <c r="I22" s="594"/>
      <c r="J22" s="594"/>
      <c r="K22" s="594"/>
      <c r="L22" s="594"/>
      <c r="M22" s="594"/>
      <c r="N22" s="595"/>
      <c r="O22" s="594"/>
      <c r="P22" s="594"/>
      <c r="Q22" s="594"/>
      <c r="R22" s="594"/>
      <c r="S22" s="594"/>
      <c r="T22" s="594"/>
      <c r="U22" s="594"/>
      <c r="V22" s="594"/>
      <c r="W22" s="594"/>
      <c r="X22" s="594"/>
      <c r="Y22" s="595"/>
      <c r="Z22" s="604"/>
      <c r="AA22" s="605"/>
      <c r="AB22" s="605"/>
      <c r="AC22" s="606"/>
      <c r="AD22" s="607"/>
      <c r="AE22" s="608"/>
      <c r="AF22" s="608"/>
      <c r="AG22" s="440"/>
      <c r="AH22" s="440"/>
      <c r="AI22" s="440"/>
      <c r="AJ22" s="584"/>
      <c r="AK22" s="609"/>
      <c r="AL22" s="441"/>
      <c r="AM22" s="607"/>
      <c r="AN22" s="608"/>
      <c r="AO22" s="608"/>
      <c r="AP22" s="440"/>
      <c r="AQ22" s="609"/>
    </row>
    <row r="23" spans="1:43" hidden="1" x14ac:dyDescent="0.2">
      <c r="A23" s="602"/>
      <c r="B23" s="603" t="s">
        <v>384</v>
      </c>
      <c r="C23" s="593"/>
      <c r="D23" s="594"/>
      <c r="E23" s="594"/>
      <c r="F23" s="594"/>
      <c r="G23" s="594"/>
      <c r="H23" s="594"/>
      <c r="I23" s="594"/>
      <c r="J23" s="594"/>
      <c r="K23" s="594"/>
      <c r="L23" s="594"/>
      <c r="M23" s="594"/>
      <c r="N23" s="595"/>
      <c r="O23" s="594"/>
      <c r="P23" s="594"/>
      <c r="Q23" s="594"/>
      <c r="R23" s="594"/>
      <c r="S23" s="594"/>
      <c r="T23" s="594"/>
      <c r="U23" s="594"/>
      <c r="V23" s="594"/>
      <c r="W23" s="594"/>
      <c r="X23" s="594"/>
      <c r="Y23" s="595"/>
      <c r="Z23" s="604"/>
      <c r="AA23" s="605"/>
      <c r="AB23" s="605"/>
      <c r="AC23" s="606"/>
      <c r="AD23" s="607"/>
      <c r="AE23" s="608"/>
      <c r="AF23" s="608"/>
      <c r="AG23" s="440"/>
      <c r="AH23" s="440"/>
      <c r="AI23" s="440"/>
      <c r="AJ23" s="584"/>
      <c r="AK23" s="609"/>
      <c r="AL23" s="441"/>
      <c r="AM23" s="607"/>
      <c r="AN23" s="608"/>
      <c r="AO23" s="608"/>
      <c r="AP23" s="440"/>
      <c r="AQ23" s="609"/>
    </row>
    <row r="24" spans="1:43" ht="48" hidden="1" x14ac:dyDescent="0.2">
      <c r="A24" s="602"/>
      <c r="B24" s="603" t="s">
        <v>418</v>
      </c>
      <c r="C24" s="593"/>
      <c r="D24" s="594"/>
      <c r="E24" s="594"/>
      <c r="F24" s="594"/>
      <c r="G24" s="594"/>
      <c r="H24" s="594"/>
      <c r="I24" s="594"/>
      <c r="J24" s="594"/>
      <c r="K24" s="594"/>
      <c r="L24" s="594"/>
      <c r="M24" s="594"/>
      <c r="N24" s="595"/>
      <c r="O24" s="594"/>
      <c r="P24" s="594"/>
      <c r="Q24" s="594"/>
      <c r="R24" s="594"/>
      <c r="S24" s="594"/>
      <c r="T24" s="594"/>
      <c r="U24" s="594"/>
      <c r="V24" s="594"/>
      <c r="W24" s="594"/>
      <c r="X24" s="594"/>
      <c r="Y24" s="595"/>
      <c r="Z24" s="604"/>
      <c r="AA24" s="605"/>
      <c r="AB24" s="605"/>
      <c r="AC24" s="606"/>
      <c r="AD24" s="607"/>
      <c r="AE24" s="608"/>
      <c r="AF24" s="608"/>
      <c r="AG24" s="440"/>
      <c r="AH24" s="440"/>
      <c r="AI24" s="440"/>
      <c r="AJ24" s="584"/>
      <c r="AK24" s="609"/>
      <c r="AL24" s="441"/>
      <c r="AM24" s="607"/>
      <c r="AN24" s="608"/>
      <c r="AO24" s="608"/>
      <c r="AP24" s="440"/>
      <c r="AQ24" s="609"/>
    </row>
    <row r="25" spans="1:43" hidden="1" x14ac:dyDescent="0.2">
      <c r="A25" s="602"/>
      <c r="B25" s="603" t="s">
        <v>385</v>
      </c>
      <c r="C25" s="593"/>
      <c r="D25" s="594"/>
      <c r="E25" s="594"/>
      <c r="F25" s="594"/>
      <c r="G25" s="594"/>
      <c r="H25" s="594"/>
      <c r="I25" s="594"/>
      <c r="J25" s="594"/>
      <c r="K25" s="594"/>
      <c r="L25" s="594"/>
      <c r="M25" s="594"/>
      <c r="N25" s="595"/>
      <c r="O25" s="594"/>
      <c r="P25" s="594"/>
      <c r="Q25" s="594"/>
      <c r="R25" s="594"/>
      <c r="S25" s="594"/>
      <c r="T25" s="594"/>
      <c r="U25" s="594"/>
      <c r="V25" s="594"/>
      <c r="W25" s="594"/>
      <c r="X25" s="594"/>
      <c r="Y25" s="595"/>
      <c r="Z25" s="604"/>
      <c r="AA25" s="605"/>
      <c r="AB25" s="605"/>
      <c r="AC25" s="606"/>
      <c r="AD25" s="607"/>
      <c r="AE25" s="608"/>
      <c r="AF25" s="608"/>
      <c r="AG25" s="440"/>
      <c r="AH25" s="440"/>
      <c r="AI25" s="440"/>
      <c r="AJ25" s="584"/>
      <c r="AK25" s="609"/>
      <c r="AL25" s="441"/>
      <c r="AM25" s="607"/>
      <c r="AN25" s="608"/>
      <c r="AO25" s="608"/>
      <c r="AP25" s="440"/>
      <c r="AQ25" s="609"/>
    </row>
    <row r="26" spans="1:43" ht="36" hidden="1" x14ac:dyDescent="0.2">
      <c r="A26" s="602"/>
      <c r="B26" s="603" t="s">
        <v>386</v>
      </c>
      <c r="C26" s="593"/>
      <c r="D26" s="594"/>
      <c r="E26" s="594"/>
      <c r="F26" s="594"/>
      <c r="G26" s="594"/>
      <c r="H26" s="594"/>
      <c r="I26" s="594"/>
      <c r="J26" s="594"/>
      <c r="K26" s="594"/>
      <c r="L26" s="594"/>
      <c r="M26" s="594"/>
      <c r="N26" s="595"/>
      <c r="O26" s="594"/>
      <c r="P26" s="594"/>
      <c r="Q26" s="594"/>
      <c r="R26" s="594"/>
      <c r="S26" s="594"/>
      <c r="T26" s="594"/>
      <c r="U26" s="594"/>
      <c r="V26" s="594"/>
      <c r="W26" s="594"/>
      <c r="X26" s="594"/>
      <c r="Y26" s="595"/>
      <c r="Z26" s="604"/>
      <c r="AA26" s="605"/>
      <c r="AB26" s="605"/>
      <c r="AC26" s="606"/>
      <c r="AD26" s="607"/>
      <c r="AE26" s="608"/>
      <c r="AF26" s="608"/>
      <c r="AG26" s="440"/>
      <c r="AH26" s="440"/>
      <c r="AI26" s="440"/>
      <c r="AJ26" s="584"/>
      <c r="AK26" s="609"/>
      <c r="AL26" s="441"/>
      <c r="AM26" s="607"/>
      <c r="AN26" s="608"/>
      <c r="AO26" s="608"/>
      <c r="AP26" s="440"/>
      <c r="AQ26" s="609"/>
    </row>
    <row r="27" spans="1:43" hidden="1" x14ac:dyDescent="0.2">
      <c r="A27" s="602"/>
      <c r="B27" s="603" t="s">
        <v>387</v>
      </c>
      <c r="C27" s="593"/>
      <c r="D27" s="594"/>
      <c r="E27" s="594"/>
      <c r="F27" s="594"/>
      <c r="G27" s="594"/>
      <c r="H27" s="594"/>
      <c r="I27" s="594"/>
      <c r="J27" s="594"/>
      <c r="K27" s="594"/>
      <c r="L27" s="594"/>
      <c r="M27" s="594"/>
      <c r="N27" s="595"/>
      <c r="O27" s="594"/>
      <c r="P27" s="594"/>
      <c r="Q27" s="594"/>
      <c r="R27" s="594"/>
      <c r="S27" s="594"/>
      <c r="T27" s="594"/>
      <c r="U27" s="594"/>
      <c r="V27" s="594"/>
      <c r="W27" s="594"/>
      <c r="X27" s="594"/>
      <c r="Y27" s="595"/>
      <c r="Z27" s="604"/>
      <c r="AA27" s="605"/>
      <c r="AB27" s="605"/>
      <c r="AC27" s="606"/>
      <c r="AD27" s="607"/>
      <c r="AE27" s="608"/>
      <c r="AF27" s="608"/>
      <c r="AG27" s="440"/>
      <c r="AH27" s="440"/>
      <c r="AI27" s="440"/>
      <c r="AJ27" s="584"/>
      <c r="AK27" s="609"/>
      <c r="AL27" s="441"/>
      <c r="AM27" s="607"/>
      <c r="AN27" s="608"/>
      <c r="AO27" s="608"/>
      <c r="AP27" s="440"/>
      <c r="AQ27" s="609"/>
    </row>
    <row r="28" spans="1:43" hidden="1" x14ac:dyDescent="0.2">
      <c r="A28" s="602"/>
      <c r="B28" s="603" t="s">
        <v>388</v>
      </c>
      <c r="C28" s="593"/>
      <c r="D28" s="594"/>
      <c r="E28" s="594"/>
      <c r="F28" s="594"/>
      <c r="G28" s="594"/>
      <c r="H28" s="594"/>
      <c r="I28" s="594"/>
      <c r="J28" s="594"/>
      <c r="K28" s="594"/>
      <c r="L28" s="594"/>
      <c r="M28" s="594"/>
      <c r="N28" s="595"/>
      <c r="O28" s="594"/>
      <c r="P28" s="594"/>
      <c r="Q28" s="594"/>
      <c r="R28" s="594"/>
      <c r="S28" s="594"/>
      <c r="T28" s="594"/>
      <c r="U28" s="594"/>
      <c r="V28" s="594"/>
      <c r="W28" s="594"/>
      <c r="X28" s="594"/>
      <c r="Y28" s="595"/>
      <c r="Z28" s="604"/>
      <c r="AA28" s="605"/>
      <c r="AB28" s="605"/>
      <c r="AC28" s="606"/>
      <c r="AD28" s="607"/>
      <c r="AE28" s="608"/>
      <c r="AF28" s="608"/>
      <c r="AG28" s="440"/>
      <c r="AH28" s="440"/>
      <c r="AI28" s="440"/>
      <c r="AJ28" s="584"/>
      <c r="AK28" s="609"/>
      <c r="AL28" s="441"/>
      <c r="AM28" s="607"/>
      <c r="AN28" s="608"/>
      <c r="AO28" s="608"/>
      <c r="AP28" s="440"/>
      <c r="AQ28" s="609"/>
    </row>
    <row r="29" spans="1:43" hidden="1" x14ac:dyDescent="0.2">
      <c r="A29" s="602"/>
      <c r="B29" s="603" t="s">
        <v>389</v>
      </c>
      <c r="C29" s="593"/>
      <c r="D29" s="594"/>
      <c r="E29" s="594"/>
      <c r="F29" s="594"/>
      <c r="G29" s="594"/>
      <c r="H29" s="594"/>
      <c r="I29" s="594"/>
      <c r="J29" s="594"/>
      <c r="K29" s="594"/>
      <c r="L29" s="594"/>
      <c r="M29" s="594"/>
      <c r="N29" s="595"/>
      <c r="O29" s="594"/>
      <c r="P29" s="594"/>
      <c r="Q29" s="594"/>
      <c r="R29" s="594"/>
      <c r="S29" s="594"/>
      <c r="T29" s="594"/>
      <c r="U29" s="594"/>
      <c r="V29" s="594"/>
      <c r="W29" s="594"/>
      <c r="X29" s="594"/>
      <c r="Y29" s="595"/>
      <c r="Z29" s="604"/>
      <c r="AA29" s="605"/>
      <c r="AB29" s="605"/>
      <c r="AC29" s="606"/>
      <c r="AD29" s="607"/>
      <c r="AE29" s="608"/>
      <c r="AF29" s="608"/>
      <c r="AG29" s="440"/>
      <c r="AH29" s="440"/>
      <c r="AI29" s="440"/>
      <c r="AJ29" s="584"/>
      <c r="AK29" s="609"/>
      <c r="AL29" s="441"/>
      <c r="AM29" s="607"/>
      <c r="AN29" s="608"/>
      <c r="AO29" s="608"/>
      <c r="AP29" s="440"/>
      <c r="AQ29" s="609"/>
    </row>
    <row r="30" spans="1:43" ht="36" hidden="1" x14ac:dyDescent="0.2">
      <c r="A30" s="602"/>
      <c r="B30" s="603" t="s">
        <v>463</v>
      </c>
      <c r="C30" s="593"/>
      <c r="D30" s="594"/>
      <c r="E30" s="594"/>
      <c r="F30" s="594"/>
      <c r="G30" s="594"/>
      <c r="H30" s="594"/>
      <c r="I30" s="594"/>
      <c r="J30" s="594"/>
      <c r="K30" s="594"/>
      <c r="L30" s="594"/>
      <c r="M30" s="594"/>
      <c r="N30" s="595"/>
      <c r="O30" s="594"/>
      <c r="P30" s="594"/>
      <c r="Q30" s="594"/>
      <c r="R30" s="594"/>
      <c r="S30" s="594"/>
      <c r="T30" s="594"/>
      <c r="U30" s="594"/>
      <c r="V30" s="594"/>
      <c r="W30" s="594"/>
      <c r="X30" s="594"/>
      <c r="Y30" s="595"/>
      <c r="Z30" s="604"/>
      <c r="AA30" s="605"/>
      <c r="AB30" s="605"/>
      <c r="AC30" s="606"/>
      <c r="AD30" s="607"/>
      <c r="AE30" s="608"/>
      <c r="AF30" s="608"/>
      <c r="AG30" s="440"/>
      <c r="AH30" s="440"/>
      <c r="AI30" s="440"/>
      <c r="AJ30" s="584"/>
      <c r="AK30" s="609"/>
      <c r="AL30" s="441"/>
      <c r="AM30" s="607"/>
      <c r="AN30" s="608"/>
      <c r="AO30" s="608"/>
      <c r="AP30" s="440"/>
      <c r="AQ30" s="609"/>
    </row>
    <row r="31" spans="1:43" ht="24" hidden="1" x14ac:dyDescent="0.2">
      <c r="A31" s="602"/>
      <c r="B31" s="603" t="s">
        <v>419</v>
      </c>
      <c r="C31" s="593"/>
      <c r="D31" s="594"/>
      <c r="E31" s="594"/>
      <c r="F31" s="594"/>
      <c r="G31" s="594"/>
      <c r="H31" s="594"/>
      <c r="I31" s="594"/>
      <c r="J31" s="594"/>
      <c r="K31" s="594"/>
      <c r="L31" s="594"/>
      <c r="M31" s="594"/>
      <c r="N31" s="595"/>
      <c r="O31" s="594"/>
      <c r="P31" s="594"/>
      <c r="Q31" s="594"/>
      <c r="R31" s="594"/>
      <c r="S31" s="594"/>
      <c r="T31" s="594"/>
      <c r="U31" s="594"/>
      <c r="V31" s="594"/>
      <c r="W31" s="594"/>
      <c r="X31" s="594"/>
      <c r="Y31" s="595"/>
      <c r="Z31" s="604"/>
      <c r="AA31" s="605"/>
      <c r="AB31" s="605"/>
      <c r="AC31" s="606"/>
      <c r="AD31" s="607"/>
      <c r="AE31" s="608"/>
      <c r="AF31" s="608"/>
      <c r="AG31" s="440"/>
      <c r="AH31" s="440"/>
      <c r="AI31" s="440"/>
      <c r="AJ31" s="584"/>
      <c r="AK31" s="609"/>
      <c r="AL31" s="441"/>
      <c r="AM31" s="607"/>
      <c r="AN31" s="608"/>
      <c r="AO31" s="608"/>
      <c r="AP31" s="440"/>
      <c r="AQ31" s="609"/>
    </row>
    <row r="32" spans="1:43" ht="24" hidden="1" x14ac:dyDescent="0.2">
      <c r="A32" s="602"/>
      <c r="B32" s="603" t="s">
        <v>464</v>
      </c>
      <c r="C32" s="593"/>
      <c r="D32" s="594"/>
      <c r="E32" s="594"/>
      <c r="F32" s="594"/>
      <c r="G32" s="594"/>
      <c r="H32" s="594"/>
      <c r="I32" s="594"/>
      <c r="J32" s="594"/>
      <c r="K32" s="594"/>
      <c r="L32" s="594"/>
      <c r="M32" s="594"/>
      <c r="N32" s="595"/>
      <c r="O32" s="594"/>
      <c r="P32" s="594"/>
      <c r="Q32" s="594"/>
      <c r="R32" s="594"/>
      <c r="S32" s="594"/>
      <c r="T32" s="594"/>
      <c r="U32" s="594"/>
      <c r="V32" s="594"/>
      <c r="W32" s="594"/>
      <c r="X32" s="594"/>
      <c r="Y32" s="595"/>
      <c r="Z32" s="604"/>
      <c r="AA32" s="605"/>
      <c r="AB32" s="605"/>
      <c r="AC32" s="606"/>
      <c r="AD32" s="607"/>
      <c r="AE32" s="608"/>
      <c r="AF32" s="608"/>
      <c r="AG32" s="440"/>
      <c r="AH32" s="440"/>
      <c r="AI32" s="440"/>
      <c r="AJ32" s="584"/>
      <c r="AK32" s="609"/>
      <c r="AL32" s="441"/>
      <c r="AM32" s="607"/>
      <c r="AN32" s="608"/>
      <c r="AO32" s="608"/>
      <c r="AP32" s="440"/>
      <c r="AQ32" s="609"/>
    </row>
    <row r="33" spans="1:43" ht="48" hidden="1" x14ac:dyDescent="0.2">
      <c r="A33" s="602"/>
      <c r="B33" s="603" t="s">
        <v>392</v>
      </c>
      <c r="C33" s="593"/>
      <c r="D33" s="594"/>
      <c r="E33" s="594"/>
      <c r="F33" s="594"/>
      <c r="G33" s="594"/>
      <c r="H33" s="594"/>
      <c r="I33" s="594"/>
      <c r="J33" s="594"/>
      <c r="K33" s="594"/>
      <c r="L33" s="594"/>
      <c r="M33" s="594"/>
      <c r="N33" s="595"/>
      <c r="O33" s="594"/>
      <c r="P33" s="594"/>
      <c r="Q33" s="594"/>
      <c r="R33" s="594"/>
      <c r="S33" s="594"/>
      <c r="T33" s="594"/>
      <c r="U33" s="594"/>
      <c r="V33" s="594"/>
      <c r="W33" s="594"/>
      <c r="X33" s="594"/>
      <c r="Y33" s="595"/>
      <c r="Z33" s="604"/>
      <c r="AA33" s="605"/>
      <c r="AB33" s="605"/>
      <c r="AC33" s="606"/>
      <c r="AD33" s="607"/>
      <c r="AE33" s="608"/>
      <c r="AF33" s="608"/>
      <c r="AG33" s="440"/>
      <c r="AH33" s="440"/>
      <c r="AI33" s="440"/>
      <c r="AJ33" s="584"/>
      <c r="AK33" s="609"/>
      <c r="AL33" s="441"/>
      <c r="AM33" s="607"/>
      <c r="AN33" s="608"/>
      <c r="AO33" s="608"/>
      <c r="AP33" s="440"/>
      <c r="AQ33" s="609"/>
    </row>
    <row r="34" spans="1:43" ht="24" hidden="1" x14ac:dyDescent="0.2">
      <c r="A34" s="602"/>
      <c r="B34" s="603" t="s">
        <v>465</v>
      </c>
      <c r="C34" s="593"/>
      <c r="D34" s="594"/>
      <c r="E34" s="594"/>
      <c r="F34" s="594"/>
      <c r="G34" s="594"/>
      <c r="H34" s="594"/>
      <c r="I34" s="594"/>
      <c r="J34" s="594"/>
      <c r="K34" s="594"/>
      <c r="L34" s="594"/>
      <c r="M34" s="594"/>
      <c r="N34" s="595"/>
      <c r="O34" s="594"/>
      <c r="P34" s="594"/>
      <c r="Q34" s="594"/>
      <c r="R34" s="594"/>
      <c r="S34" s="594"/>
      <c r="T34" s="594"/>
      <c r="U34" s="594"/>
      <c r="V34" s="594"/>
      <c r="W34" s="594"/>
      <c r="X34" s="594"/>
      <c r="Y34" s="595"/>
      <c r="Z34" s="604"/>
      <c r="AA34" s="605"/>
      <c r="AB34" s="605"/>
      <c r="AC34" s="606"/>
      <c r="AD34" s="607"/>
      <c r="AE34" s="608"/>
      <c r="AF34" s="608"/>
      <c r="AG34" s="440"/>
      <c r="AH34" s="440"/>
      <c r="AI34" s="440"/>
      <c r="AJ34" s="584"/>
      <c r="AK34" s="609"/>
      <c r="AL34" s="441"/>
      <c r="AM34" s="607"/>
      <c r="AN34" s="608"/>
      <c r="AO34" s="608"/>
      <c r="AP34" s="440"/>
      <c r="AQ34" s="609"/>
    </row>
    <row r="35" spans="1:43" ht="60" hidden="1" x14ac:dyDescent="0.2">
      <c r="A35" s="602"/>
      <c r="B35" s="603" t="s">
        <v>466</v>
      </c>
      <c r="C35" s="593"/>
      <c r="D35" s="594"/>
      <c r="E35" s="594"/>
      <c r="F35" s="594"/>
      <c r="G35" s="594"/>
      <c r="H35" s="594"/>
      <c r="I35" s="594"/>
      <c r="J35" s="594"/>
      <c r="K35" s="594"/>
      <c r="L35" s="594"/>
      <c r="M35" s="594"/>
      <c r="N35" s="595"/>
      <c r="O35" s="594"/>
      <c r="P35" s="594"/>
      <c r="Q35" s="594"/>
      <c r="R35" s="594"/>
      <c r="S35" s="594"/>
      <c r="T35" s="594"/>
      <c r="U35" s="594"/>
      <c r="V35" s="594"/>
      <c r="W35" s="594"/>
      <c r="X35" s="594"/>
      <c r="Y35" s="595"/>
      <c r="Z35" s="604"/>
      <c r="AA35" s="605"/>
      <c r="AB35" s="605"/>
      <c r="AC35" s="606"/>
      <c r="AD35" s="607"/>
      <c r="AE35" s="608"/>
      <c r="AF35" s="608"/>
      <c r="AG35" s="440"/>
      <c r="AH35" s="440"/>
      <c r="AI35" s="440"/>
      <c r="AJ35" s="584"/>
      <c r="AK35" s="609"/>
      <c r="AL35" s="441"/>
      <c r="AM35" s="607"/>
      <c r="AN35" s="608"/>
      <c r="AO35" s="608"/>
      <c r="AP35" s="440"/>
      <c r="AQ35" s="609"/>
    </row>
    <row r="36" spans="1:43" hidden="1" x14ac:dyDescent="0.2">
      <c r="A36" s="602"/>
      <c r="B36" s="603" t="s">
        <v>468</v>
      </c>
      <c r="C36" s="593"/>
      <c r="D36" s="594"/>
      <c r="E36" s="594"/>
      <c r="F36" s="594"/>
      <c r="G36" s="594"/>
      <c r="H36" s="594"/>
      <c r="I36" s="594"/>
      <c r="J36" s="594"/>
      <c r="K36" s="594"/>
      <c r="L36" s="594"/>
      <c r="M36" s="594"/>
      <c r="N36" s="595"/>
      <c r="O36" s="594"/>
      <c r="P36" s="594"/>
      <c r="Q36" s="594"/>
      <c r="R36" s="594"/>
      <c r="S36" s="594"/>
      <c r="T36" s="594"/>
      <c r="U36" s="594"/>
      <c r="V36" s="594"/>
      <c r="W36" s="594"/>
      <c r="X36" s="594"/>
      <c r="Y36" s="595"/>
      <c r="Z36" s="604"/>
      <c r="AA36" s="605"/>
      <c r="AB36" s="605"/>
      <c r="AC36" s="606"/>
      <c r="AD36" s="607"/>
      <c r="AE36" s="608"/>
      <c r="AF36" s="608"/>
      <c r="AG36" s="440"/>
      <c r="AH36" s="440"/>
      <c r="AI36" s="440"/>
      <c r="AJ36" s="584"/>
      <c r="AK36" s="609"/>
      <c r="AL36" s="441"/>
      <c r="AM36" s="607"/>
      <c r="AN36" s="608"/>
      <c r="AO36" s="608"/>
      <c r="AP36" s="440"/>
      <c r="AQ36" s="609"/>
    </row>
    <row r="37" spans="1:43" ht="36" hidden="1" x14ac:dyDescent="0.2">
      <c r="A37" s="602"/>
      <c r="B37" s="603" t="s">
        <v>467</v>
      </c>
      <c r="C37" s="593"/>
      <c r="D37" s="594"/>
      <c r="E37" s="594"/>
      <c r="F37" s="594"/>
      <c r="G37" s="594"/>
      <c r="H37" s="594"/>
      <c r="I37" s="594"/>
      <c r="J37" s="594"/>
      <c r="K37" s="594"/>
      <c r="L37" s="594"/>
      <c r="M37" s="594"/>
      <c r="N37" s="595"/>
      <c r="O37" s="594"/>
      <c r="P37" s="594"/>
      <c r="Q37" s="594"/>
      <c r="R37" s="594"/>
      <c r="S37" s="594"/>
      <c r="T37" s="594"/>
      <c r="U37" s="594"/>
      <c r="V37" s="594"/>
      <c r="W37" s="594"/>
      <c r="X37" s="594"/>
      <c r="Y37" s="595"/>
      <c r="Z37" s="604"/>
      <c r="AA37" s="605"/>
      <c r="AB37" s="605"/>
      <c r="AC37" s="606"/>
      <c r="AD37" s="607"/>
      <c r="AE37" s="608"/>
      <c r="AF37" s="608"/>
      <c r="AG37" s="440"/>
      <c r="AH37" s="440"/>
      <c r="AI37" s="440"/>
      <c r="AJ37" s="584"/>
      <c r="AK37" s="609"/>
      <c r="AL37" s="441"/>
      <c r="AM37" s="607"/>
      <c r="AN37" s="608"/>
      <c r="AO37" s="608"/>
      <c r="AP37" s="440"/>
      <c r="AQ37" s="609"/>
    </row>
    <row r="38" spans="1:43" hidden="1" x14ac:dyDescent="0.2">
      <c r="A38" s="602"/>
      <c r="B38" s="603" t="s">
        <v>393</v>
      </c>
      <c r="C38" s="593"/>
      <c r="D38" s="594"/>
      <c r="E38" s="594"/>
      <c r="F38" s="594"/>
      <c r="G38" s="594"/>
      <c r="H38" s="594"/>
      <c r="I38" s="594"/>
      <c r="J38" s="594"/>
      <c r="K38" s="594"/>
      <c r="L38" s="594"/>
      <c r="M38" s="594"/>
      <c r="N38" s="595"/>
      <c r="O38" s="594"/>
      <c r="P38" s="594"/>
      <c r="Q38" s="594"/>
      <c r="R38" s="594"/>
      <c r="S38" s="594"/>
      <c r="T38" s="594"/>
      <c r="U38" s="594"/>
      <c r="V38" s="594"/>
      <c r="W38" s="594"/>
      <c r="X38" s="594"/>
      <c r="Y38" s="595"/>
      <c r="Z38" s="604"/>
      <c r="AA38" s="605"/>
      <c r="AB38" s="605"/>
      <c r="AC38" s="606"/>
      <c r="AD38" s="607"/>
      <c r="AE38" s="608"/>
      <c r="AF38" s="608"/>
      <c r="AG38" s="440"/>
      <c r="AH38" s="440"/>
      <c r="AI38" s="440"/>
      <c r="AJ38" s="584"/>
      <c r="AK38" s="609"/>
      <c r="AL38" s="441"/>
      <c r="AM38" s="607"/>
      <c r="AN38" s="608"/>
      <c r="AO38" s="608"/>
      <c r="AP38" s="440"/>
      <c r="AQ38" s="609"/>
    </row>
    <row r="39" spans="1:43" hidden="1" x14ac:dyDescent="0.2">
      <c r="A39" s="602"/>
      <c r="B39" s="603" t="s">
        <v>420</v>
      </c>
      <c r="C39" s="593"/>
      <c r="D39" s="594"/>
      <c r="E39" s="594"/>
      <c r="F39" s="594"/>
      <c r="G39" s="594"/>
      <c r="H39" s="594"/>
      <c r="I39" s="594"/>
      <c r="J39" s="594"/>
      <c r="K39" s="594"/>
      <c r="L39" s="594"/>
      <c r="M39" s="594"/>
      <c r="N39" s="595"/>
      <c r="O39" s="594"/>
      <c r="P39" s="594"/>
      <c r="Q39" s="594"/>
      <c r="R39" s="594"/>
      <c r="S39" s="594"/>
      <c r="T39" s="594"/>
      <c r="U39" s="594"/>
      <c r="V39" s="594"/>
      <c r="W39" s="594"/>
      <c r="X39" s="594"/>
      <c r="Y39" s="595"/>
      <c r="Z39" s="604"/>
      <c r="AA39" s="605"/>
      <c r="AB39" s="605"/>
      <c r="AC39" s="606"/>
      <c r="AD39" s="607"/>
      <c r="AE39" s="608"/>
      <c r="AF39" s="608"/>
      <c r="AG39" s="440"/>
      <c r="AH39" s="440"/>
      <c r="AI39" s="440"/>
      <c r="AJ39" s="584"/>
      <c r="AK39" s="609"/>
      <c r="AL39" s="441"/>
      <c r="AM39" s="607"/>
      <c r="AN39" s="608"/>
      <c r="AO39" s="608"/>
      <c r="AP39" s="440"/>
      <c r="AQ39" s="609"/>
    </row>
    <row r="40" spans="1:43" hidden="1" x14ac:dyDescent="0.2">
      <c r="A40" s="602"/>
      <c r="B40" s="603" t="s">
        <v>394</v>
      </c>
      <c r="C40" s="593"/>
      <c r="D40" s="594"/>
      <c r="E40" s="594"/>
      <c r="F40" s="594"/>
      <c r="G40" s="594"/>
      <c r="H40" s="594"/>
      <c r="I40" s="594"/>
      <c r="J40" s="594"/>
      <c r="K40" s="594"/>
      <c r="L40" s="594"/>
      <c r="M40" s="594"/>
      <c r="N40" s="595"/>
      <c r="O40" s="594"/>
      <c r="P40" s="594"/>
      <c r="Q40" s="594"/>
      <c r="R40" s="594"/>
      <c r="S40" s="594"/>
      <c r="T40" s="594"/>
      <c r="U40" s="594"/>
      <c r="V40" s="594"/>
      <c r="W40" s="594"/>
      <c r="X40" s="594"/>
      <c r="Y40" s="595"/>
      <c r="Z40" s="604"/>
      <c r="AA40" s="605"/>
      <c r="AB40" s="605"/>
      <c r="AC40" s="606"/>
      <c r="AD40" s="607"/>
      <c r="AE40" s="608"/>
      <c r="AF40" s="608"/>
      <c r="AG40" s="440"/>
      <c r="AH40" s="440"/>
      <c r="AI40" s="440"/>
      <c r="AJ40" s="584"/>
      <c r="AK40" s="609"/>
      <c r="AL40" s="441"/>
      <c r="AM40" s="607"/>
      <c r="AN40" s="608"/>
      <c r="AO40" s="608"/>
      <c r="AP40" s="440"/>
      <c r="AQ40" s="609"/>
    </row>
    <row r="41" spans="1:43" hidden="1" x14ac:dyDescent="0.2">
      <c r="A41" s="602"/>
      <c r="B41" s="603" t="s">
        <v>421</v>
      </c>
      <c r="C41" s="593"/>
      <c r="D41" s="594"/>
      <c r="E41" s="594"/>
      <c r="F41" s="594"/>
      <c r="G41" s="594"/>
      <c r="H41" s="594"/>
      <c r="I41" s="594"/>
      <c r="J41" s="594"/>
      <c r="K41" s="594"/>
      <c r="L41" s="594"/>
      <c r="M41" s="594"/>
      <c r="N41" s="595"/>
      <c r="O41" s="594"/>
      <c r="P41" s="594"/>
      <c r="Q41" s="594"/>
      <c r="R41" s="594"/>
      <c r="S41" s="594"/>
      <c r="T41" s="594"/>
      <c r="U41" s="594"/>
      <c r="V41" s="594"/>
      <c r="W41" s="594"/>
      <c r="X41" s="594"/>
      <c r="Y41" s="595"/>
      <c r="Z41" s="604"/>
      <c r="AA41" s="605"/>
      <c r="AB41" s="605"/>
      <c r="AC41" s="606"/>
      <c r="AD41" s="607"/>
      <c r="AE41" s="608"/>
      <c r="AF41" s="608"/>
      <c r="AG41" s="440"/>
      <c r="AH41" s="440"/>
      <c r="AI41" s="440"/>
      <c r="AJ41" s="584"/>
      <c r="AK41" s="609"/>
      <c r="AL41" s="441"/>
      <c r="AM41" s="607"/>
      <c r="AN41" s="608"/>
      <c r="AO41" s="608"/>
      <c r="AP41" s="440"/>
      <c r="AQ41" s="609"/>
    </row>
    <row r="42" spans="1:43" hidden="1" x14ac:dyDescent="0.2">
      <c r="A42" s="602"/>
      <c r="B42" s="603" t="s">
        <v>394</v>
      </c>
      <c r="C42" s="593"/>
      <c r="D42" s="594"/>
      <c r="E42" s="594"/>
      <c r="F42" s="594"/>
      <c r="G42" s="594"/>
      <c r="H42" s="594"/>
      <c r="I42" s="594"/>
      <c r="J42" s="594"/>
      <c r="K42" s="594"/>
      <c r="L42" s="594"/>
      <c r="M42" s="594"/>
      <c r="N42" s="595"/>
      <c r="O42" s="594"/>
      <c r="P42" s="594"/>
      <c r="Q42" s="594"/>
      <c r="R42" s="594"/>
      <c r="S42" s="594"/>
      <c r="T42" s="594"/>
      <c r="U42" s="594"/>
      <c r="V42" s="594"/>
      <c r="W42" s="594"/>
      <c r="X42" s="594"/>
      <c r="Y42" s="595"/>
      <c r="Z42" s="604"/>
      <c r="AA42" s="605"/>
      <c r="AB42" s="605"/>
      <c r="AC42" s="606"/>
      <c r="AD42" s="607"/>
      <c r="AE42" s="608"/>
      <c r="AF42" s="608"/>
      <c r="AG42" s="440"/>
      <c r="AH42" s="440"/>
      <c r="AI42" s="440"/>
      <c r="AJ42" s="584"/>
      <c r="AK42" s="609"/>
      <c r="AL42" s="441"/>
      <c r="AM42" s="607"/>
      <c r="AN42" s="608"/>
      <c r="AO42" s="608"/>
      <c r="AP42" s="440"/>
      <c r="AQ42" s="609"/>
    </row>
    <row r="43" spans="1:43" hidden="1" x14ac:dyDescent="0.2">
      <c r="A43" s="602"/>
      <c r="B43" s="603" t="s">
        <v>422</v>
      </c>
      <c r="C43" s="593"/>
      <c r="D43" s="594"/>
      <c r="E43" s="594"/>
      <c r="F43" s="594"/>
      <c r="G43" s="594"/>
      <c r="H43" s="594"/>
      <c r="I43" s="594"/>
      <c r="J43" s="594"/>
      <c r="K43" s="594"/>
      <c r="L43" s="594"/>
      <c r="M43" s="594"/>
      <c r="N43" s="595"/>
      <c r="O43" s="594"/>
      <c r="P43" s="594"/>
      <c r="Q43" s="594"/>
      <c r="R43" s="594"/>
      <c r="S43" s="594"/>
      <c r="T43" s="594"/>
      <c r="U43" s="594"/>
      <c r="V43" s="594"/>
      <c r="W43" s="594"/>
      <c r="X43" s="594"/>
      <c r="Y43" s="595"/>
      <c r="Z43" s="604"/>
      <c r="AA43" s="605"/>
      <c r="AB43" s="605"/>
      <c r="AC43" s="606"/>
      <c r="AD43" s="607"/>
      <c r="AE43" s="608"/>
      <c r="AF43" s="608"/>
      <c r="AG43" s="440"/>
      <c r="AH43" s="440"/>
      <c r="AI43" s="440"/>
      <c r="AJ43" s="584"/>
      <c r="AK43" s="609"/>
      <c r="AL43" s="441"/>
      <c r="AM43" s="607"/>
      <c r="AN43" s="608"/>
      <c r="AO43" s="608"/>
      <c r="AP43" s="440"/>
      <c r="AQ43" s="609"/>
    </row>
    <row r="44" spans="1:43" hidden="1" x14ac:dyDescent="0.2">
      <c r="A44" s="602"/>
      <c r="B44" s="603" t="s">
        <v>394</v>
      </c>
      <c r="C44" s="593"/>
      <c r="D44" s="594"/>
      <c r="E44" s="594"/>
      <c r="F44" s="594"/>
      <c r="G44" s="594"/>
      <c r="H44" s="594"/>
      <c r="I44" s="594"/>
      <c r="J44" s="594"/>
      <c r="K44" s="594"/>
      <c r="L44" s="594"/>
      <c r="M44" s="594"/>
      <c r="N44" s="595"/>
      <c r="O44" s="594"/>
      <c r="P44" s="594"/>
      <c r="Q44" s="594"/>
      <c r="R44" s="594"/>
      <c r="S44" s="594"/>
      <c r="T44" s="594"/>
      <c r="U44" s="594"/>
      <c r="V44" s="594"/>
      <c r="W44" s="594"/>
      <c r="X44" s="594"/>
      <c r="Y44" s="595"/>
      <c r="Z44" s="604"/>
      <c r="AA44" s="605"/>
      <c r="AB44" s="605"/>
      <c r="AC44" s="606"/>
      <c r="AD44" s="607"/>
      <c r="AE44" s="608"/>
      <c r="AF44" s="608"/>
      <c r="AG44" s="440"/>
      <c r="AH44" s="440"/>
      <c r="AI44" s="440"/>
      <c r="AJ44" s="584"/>
      <c r="AK44" s="609"/>
      <c r="AL44" s="441"/>
      <c r="AM44" s="607"/>
      <c r="AN44" s="608"/>
      <c r="AO44" s="608"/>
      <c r="AP44" s="440"/>
      <c r="AQ44" s="609"/>
    </row>
    <row r="45" spans="1:43" hidden="1" x14ac:dyDescent="0.2">
      <c r="A45" s="602"/>
      <c r="B45" s="603" t="s">
        <v>395</v>
      </c>
      <c r="C45" s="593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5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5"/>
      <c r="Z45" s="604"/>
      <c r="AA45" s="605"/>
      <c r="AB45" s="605"/>
      <c r="AC45" s="606"/>
      <c r="AD45" s="607"/>
      <c r="AE45" s="608"/>
      <c r="AF45" s="608"/>
      <c r="AG45" s="440"/>
      <c r="AH45" s="440"/>
      <c r="AI45" s="440"/>
      <c r="AJ45" s="584"/>
      <c r="AK45" s="609"/>
      <c r="AL45" s="441"/>
      <c r="AM45" s="607"/>
      <c r="AN45" s="608"/>
      <c r="AO45" s="608"/>
      <c r="AP45" s="440"/>
      <c r="AQ45" s="609"/>
    </row>
    <row r="46" spans="1:43" hidden="1" x14ac:dyDescent="0.2">
      <c r="A46" s="602"/>
      <c r="B46" s="603" t="s">
        <v>396</v>
      </c>
      <c r="C46" s="593"/>
      <c r="D46" s="594"/>
      <c r="E46" s="594"/>
      <c r="F46" s="594"/>
      <c r="G46" s="594"/>
      <c r="H46" s="594"/>
      <c r="I46" s="594"/>
      <c r="J46" s="594"/>
      <c r="K46" s="594"/>
      <c r="L46" s="594"/>
      <c r="M46" s="594"/>
      <c r="N46" s="595"/>
      <c r="O46" s="594"/>
      <c r="P46" s="594"/>
      <c r="Q46" s="594"/>
      <c r="R46" s="594"/>
      <c r="S46" s="594"/>
      <c r="T46" s="594"/>
      <c r="U46" s="594"/>
      <c r="V46" s="594"/>
      <c r="W46" s="594"/>
      <c r="X46" s="594"/>
      <c r="Y46" s="595"/>
      <c r="Z46" s="604"/>
      <c r="AA46" s="605"/>
      <c r="AB46" s="605"/>
      <c r="AC46" s="606"/>
      <c r="AD46" s="607"/>
      <c r="AE46" s="608"/>
      <c r="AF46" s="608"/>
      <c r="AG46" s="440"/>
      <c r="AH46" s="440"/>
      <c r="AI46" s="440"/>
      <c r="AJ46" s="584"/>
      <c r="AK46" s="609"/>
      <c r="AL46" s="441"/>
      <c r="AM46" s="607"/>
      <c r="AN46" s="608"/>
      <c r="AO46" s="608"/>
      <c r="AP46" s="440"/>
      <c r="AQ46" s="609"/>
    </row>
    <row r="47" spans="1:43" hidden="1" x14ac:dyDescent="0.2">
      <c r="A47" s="602"/>
      <c r="B47" s="603" t="s">
        <v>394</v>
      </c>
      <c r="C47" s="593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5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5"/>
      <c r="Z47" s="604"/>
      <c r="AA47" s="605"/>
      <c r="AB47" s="605"/>
      <c r="AC47" s="606"/>
      <c r="AD47" s="607"/>
      <c r="AE47" s="608"/>
      <c r="AF47" s="608"/>
      <c r="AG47" s="440"/>
      <c r="AH47" s="440"/>
      <c r="AI47" s="440"/>
      <c r="AJ47" s="584"/>
      <c r="AK47" s="609"/>
      <c r="AL47" s="441"/>
      <c r="AM47" s="607"/>
      <c r="AN47" s="608"/>
      <c r="AO47" s="608"/>
      <c r="AP47" s="440"/>
      <c r="AQ47" s="609"/>
    </row>
    <row r="48" spans="1:43" hidden="1" x14ac:dyDescent="0.2">
      <c r="A48" s="602"/>
      <c r="B48" s="603" t="s">
        <v>397</v>
      </c>
      <c r="C48" s="593"/>
      <c r="D48" s="594"/>
      <c r="E48" s="594"/>
      <c r="F48" s="594"/>
      <c r="G48" s="594"/>
      <c r="H48" s="594"/>
      <c r="I48" s="594"/>
      <c r="J48" s="594"/>
      <c r="K48" s="594"/>
      <c r="L48" s="594"/>
      <c r="M48" s="594"/>
      <c r="N48" s="595"/>
      <c r="O48" s="594"/>
      <c r="P48" s="594"/>
      <c r="Q48" s="594"/>
      <c r="R48" s="594"/>
      <c r="S48" s="594"/>
      <c r="T48" s="594"/>
      <c r="U48" s="594"/>
      <c r="V48" s="594"/>
      <c r="W48" s="594"/>
      <c r="X48" s="594"/>
      <c r="Y48" s="595"/>
      <c r="Z48" s="604"/>
      <c r="AA48" s="605"/>
      <c r="AB48" s="605"/>
      <c r="AC48" s="606"/>
      <c r="AD48" s="607"/>
      <c r="AE48" s="608"/>
      <c r="AF48" s="608"/>
      <c r="AG48" s="440"/>
      <c r="AH48" s="440"/>
      <c r="AI48" s="440"/>
      <c r="AJ48" s="584"/>
      <c r="AK48" s="609"/>
      <c r="AL48" s="441"/>
      <c r="AM48" s="607"/>
      <c r="AN48" s="608"/>
      <c r="AO48" s="608"/>
      <c r="AP48" s="440"/>
      <c r="AQ48" s="609"/>
    </row>
    <row r="49" spans="1:43" hidden="1" x14ac:dyDescent="0.2">
      <c r="A49" s="602"/>
      <c r="B49" s="603" t="s">
        <v>394</v>
      </c>
      <c r="C49" s="593"/>
      <c r="D49" s="594"/>
      <c r="E49" s="594"/>
      <c r="F49" s="594"/>
      <c r="G49" s="594"/>
      <c r="H49" s="594"/>
      <c r="I49" s="594"/>
      <c r="J49" s="594"/>
      <c r="K49" s="594"/>
      <c r="L49" s="594"/>
      <c r="M49" s="594"/>
      <c r="N49" s="595"/>
      <c r="O49" s="594"/>
      <c r="P49" s="594"/>
      <c r="Q49" s="594"/>
      <c r="R49" s="594"/>
      <c r="S49" s="594"/>
      <c r="T49" s="594"/>
      <c r="U49" s="594"/>
      <c r="V49" s="594"/>
      <c r="W49" s="594"/>
      <c r="X49" s="594"/>
      <c r="Y49" s="595"/>
      <c r="Z49" s="604"/>
      <c r="AA49" s="605"/>
      <c r="AB49" s="605"/>
      <c r="AC49" s="606"/>
      <c r="AD49" s="607"/>
      <c r="AE49" s="608"/>
      <c r="AF49" s="608"/>
      <c r="AG49" s="440"/>
      <c r="AH49" s="440"/>
      <c r="AI49" s="440"/>
      <c r="AJ49" s="584"/>
      <c r="AK49" s="609"/>
      <c r="AL49" s="441"/>
      <c r="AM49" s="607"/>
      <c r="AN49" s="608"/>
      <c r="AO49" s="608"/>
      <c r="AP49" s="440"/>
      <c r="AQ49" s="609"/>
    </row>
    <row r="50" spans="1:43" hidden="1" x14ac:dyDescent="0.2">
      <c r="A50" s="602"/>
      <c r="B50" s="603" t="s">
        <v>423</v>
      </c>
      <c r="C50" s="593"/>
      <c r="D50" s="594"/>
      <c r="E50" s="594"/>
      <c r="F50" s="594"/>
      <c r="G50" s="594"/>
      <c r="H50" s="594"/>
      <c r="I50" s="594"/>
      <c r="J50" s="594"/>
      <c r="K50" s="594"/>
      <c r="L50" s="594"/>
      <c r="M50" s="594"/>
      <c r="N50" s="595"/>
      <c r="O50" s="594"/>
      <c r="P50" s="594"/>
      <c r="Q50" s="594"/>
      <c r="R50" s="594"/>
      <c r="S50" s="594"/>
      <c r="T50" s="594"/>
      <c r="U50" s="594"/>
      <c r="V50" s="594"/>
      <c r="W50" s="594"/>
      <c r="X50" s="594"/>
      <c r="Y50" s="595"/>
      <c r="Z50" s="604"/>
      <c r="AA50" s="605"/>
      <c r="AB50" s="605"/>
      <c r="AC50" s="606"/>
      <c r="AD50" s="607"/>
      <c r="AE50" s="608"/>
      <c r="AF50" s="608"/>
      <c r="AG50" s="440"/>
      <c r="AH50" s="440"/>
      <c r="AI50" s="440"/>
      <c r="AJ50" s="584"/>
      <c r="AK50" s="609"/>
      <c r="AL50" s="441"/>
      <c r="AM50" s="607"/>
      <c r="AN50" s="608"/>
      <c r="AO50" s="608"/>
      <c r="AP50" s="440"/>
      <c r="AQ50" s="609"/>
    </row>
    <row r="51" spans="1:43" hidden="1" x14ac:dyDescent="0.2">
      <c r="A51" s="602"/>
      <c r="B51" s="603" t="s">
        <v>394</v>
      </c>
      <c r="C51" s="593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5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5"/>
      <c r="Z51" s="604"/>
      <c r="AA51" s="605"/>
      <c r="AB51" s="605"/>
      <c r="AC51" s="606"/>
      <c r="AD51" s="607"/>
      <c r="AE51" s="608"/>
      <c r="AF51" s="608"/>
      <c r="AG51" s="440"/>
      <c r="AH51" s="440"/>
      <c r="AI51" s="440"/>
      <c r="AJ51" s="584"/>
      <c r="AK51" s="609"/>
      <c r="AL51" s="441"/>
      <c r="AM51" s="607"/>
      <c r="AN51" s="608"/>
      <c r="AO51" s="608"/>
      <c r="AP51" s="440"/>
      <c r="AQ51" s="609"/>
    </row>
    <row r="52" spans="1:43" hidden="1" x14ac:dyDescent="0.2">
      <c r="A52" s="602"/>
      <c r="B52" s="603" t="s">
        <v>398</v>
      </c>
      <c r="C52" s="593"/>
      <c r="D52" s="594"/>
      <c r="E52" s="594"/>
      <c r="F52" s="594"/>
      <c r="G52" s="594"/>
      <c r="H52" s="594"/>
      <c r="I52" s="594"/>
      <c r="J52" s="594"/>
      <c r="K52" s="594"/>
      <c r="L52" s="594"/>
      <c r="M52" s="594"/>
      <c r="N52" s="595"/>
      <c r="O52" s="594"/>
      <c r="P52" s="594"/>
      <c r="Q52" s="594"/>
      <c r="R52" s="594"/>
      <c r="S52" s="594"/>
      <c r="T52" s="594"/>
      <c r="U52" s="594"/>
      <c r="V52" s="594"/>
      <c r="W52" s="594"/>
      <c r="X52" s="594"/>
      <c r="Y52" s="595"/>
      <c r="Z52" s="604"/>
      <c r="AA52" s="605"/>
      <c r="AB52" s="605"/>
      <c r="AC52" s="606"/>
      <c r="AD52" s="607"/>
      <c r="AE52" s="608"/>
      <c r="AF52" s="608"/>
      <c r="AG52" s="440"/>
      <c r="AH52" s="440"/>
      <c r="AI52" s="440"/>
      <c r="AJ52" s="584"/>
      <c r="AK52" s="609"/>
      <c r="AL52" s="441"/>
      <c r="AM52" s="607"/>
      <c r="AN52" s="608"/>
      <c r="AO52" s="608"/>
      <c r="AP52" s="440"/>
      <c r="AQ52" s="609"/>
    </row>
    <row r="53" spans="1:43" hidden="1" x14ac:dyDescent="0.2">
      <c r="A53" s="602"/>
      <c r="B53" s="603" t="s">
        <v>399</v>
      </c>
      <c r="C53" s="593"/>
      <c r="D53" s="594"/>
      <c r="E53" s="594"/>
      <c r="F53" s="594"/>
      <c r="G53" s="594"/>
      <c r="H53" s="594"/>
      <c r="I53" s="594"/>
      <c r="J53" s="594"/>
      <c r="K53" s="594"/>
      <c r="L53" s="594"/>
      <c r="M53" s="594"/>
      <c r="N53" s="595"/>
      <c r="O53" s="594"/>
      <c r="P53" s="594"/>
      <c r="Q53" s="594"/>
      <c r="R53" s="594"/>
      <c r="S53" s="594"/>
      <c r="T53" s="594"/>
      <c r="U53" s="594"/>
      <c r="V53" s="594"/>
      <c r="W53" s="594"/>
      <c r="X53" s="594"/>
      <c r="Y53" s="595"/>
      <c r="Z53" s="604"/>
      <c r="AA53" s="605"/>
      <c r="AB53" s="605"/>
      <c r="AC53" s="606"/>
      <c r="AD53" s="607"/>
      <c r="AE53" s="608"/>
      <c r="AF53" s="608"/>
      <c r="AG53" s="440"/>
      <c r="AH53" s="440"/>
      <c r="AI53" s="440"/>
      <c r="AJ53" s="584"/>
      <c r="AK53" s="609"/>
      <c r="AL53" s="441"/>
      <c r="AM53" s="607"/>
      <c r="AN53" s="608"/>
      <c r="AO53" s="608"/>
      <c r="AP53" s="440"/>
      <c r="AQ53" s="609"/>
    </row>
    <row r="54" spans="1:43" hidden="1" x14ac:dyDescent="0.2">
      <c r="A54" s="602"/>
      <c r="B54" s="603" t="s">
        <v>400</v>
      </c>
      <c r="C54" s="593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5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5"/>
      <c r="Z54" s="604"/>
      <c r="AA54" s="605"/>
      <c r="AB54" s="605"/>
      <c r="AC54" s="606"/>
      <c r="AD54" s="607"/>
      <c r="AE54" s="608"/>
      <c r="AF54" s="608"/>
      <c r="AG54" s="440"/>
      <c r="AH54" s="440"/>
      <c r="AI54" s="440"/>
      <c r="AJ54" s="584"/>
      <c r="AK54" s="609"/>
      <c r="AL54" s="441"/>
      <c r="AM54" s="607"/>
      <c r="AN54" s="608"/>
      <c r="AO54" s="608"/>
      <c r="AP54" s="440"/>
      <c r="AQ54" s="609"/>
    </row>
    <row r="55" spans="1:43" hidden="1" x14ac:dyDescent="0.2">
      <c r="A55" s="602"/>
      <c r="B55" s="603" t="s">
        <v>401</v>
      </c>
      <c r="C55" s="593"/>
      <c r="D55" s="594"/>
      <c r="E55" s="594"/>
      <c r="F55" s="594"/>
      <c r="G55" s="594"/>
      <c r="H55" s="594"/>
      <c r="I55" s="594"/>
      <c r="J55" s="594"/>
      <c r="K55" s="594"/>
      <c r="L55" s="594"/>
      <c r="M55" s="594"/>
      <c r="N55" s="595"/>
      <c r="O55" s="594"/>
      <c r="P55" s="594"/>
      <c r="Q55" s="594"/>
      <c r="R55" s="594"/>
      <c r="S55" s="594"/>
      <c r="T55" s="594"/>
      <c r="U55" s="594"/>
      <c r="V55" s="594"/>
      <c r="W55" s="594"/>
      <c r="X55" s="594"/>
      <c r="Y55" s="595"/>
      <c r="Z55" s="604"/>
      <c r="AA55" s="605"/>
      <c r="AB55" s="605"/>
      <c r="AC55" s="606"/>
      <c r="AD55" s="607"/>
      <c r="AE55" s="608"/>
      <c r="AF55" s="608"/>
      <c r="AG55" s="440"/>
      <c r="AH55" s="440"/>
      <c r="AI55" s="440"/>
      <c r="AJ55" s="584"/>
      <c r="AK55" s="609"/>
      <c r="AL55" s="441"/>
      <c r="AM55" s="607"/>
      <c r="AN55" s="608"/>
      <c r="AO55" s="608"/>
      <c r="AP55" s="440"/>
      <c r="AQ55" s="609"/>
    </row>
    <row r="56" spans="1:43" ht="24" hidden="1" x14ac:dyDescent="0.2">
      <c r="A56" s="602"/>
      <c r="B56" s="603" t="s">
        <v>402</v>
      </c>
      <c r="C56" s="593"/>
      <c r="D56" s="594"/>
      <c r="E56" s="594"/>
      <c r="F56" s="594"/>
      <c r="G56" s="594"/>
      <c r="H56" s="594"/>
      <c r="I56" s="594"/>
      <c r="J56" s="594"/>
      <c r="K56" s="594"/>
      <c r="L56" s="594"/>
      <c r="M56" s="594"/>
      <c r="N56" s="595"/>
      <c r="O56" s="594"/>
      <c r="P56" s="594"/>
      <c r="Q56" s="594"/>
      <c r="R56" s="594"/>
      <c r="S56" s="594"/>
      <c r="T56" s="594"/>
      <c r="U56" s="594"/>
      <c r="V56" s="594"/>
      <c r="W56" s="594"/>
      <c r="X56" s="594"/>
      <c r="Y56" s="595"/>
      <c r="Z56" s="604"/>
      <c r="AA56" s="605"/>
      <c r="AB56" s="605"/>
      <c r="AC56" s="606"/>
      <c r="AD56" s="607"/>
      <c r="AE56" s="608"/>
      <c r="AF56" s="608"/>
      <c r="AG56" s="440"/>
      <c r="AH56" s="440"/>
      <c r="AI56" s="440"/>
      <c r="AJ56" s="584"/>
      <c r="AK56" s="609"/>
      <c r="AL56" s="441"/>
      <c r="AM56" s="607"/>
      <c r="AN56" s="608"/>
      <c r="AO56" s="608"/>
      <c r="AP56" s="440"/>
      <c r="AQ56" s="609"/>
    </row>
    <row r="57" spans="1:43" hidden="1" x14ac:dyDescent="0.2">
      <c r="A57" s="602"/>
      <c r="B57" s="603" t="s">
        <v>403</v>
      </c>
      <c r="C57" s="593"/>
      <c r="D57" s="594"/>
      <c r="E57" s="594"/>
      <c r="F57" s="594"/>
      <c r="G57" s="594"/>
      <c r="H57" s="594"/>
      <c r="I57" s="594"/>
      <c r="J57" s="594"/>
      <c r="K57" s="594"/>
      <c r="L57" s="594"/>
      <c r="M57" s="594"/>
      <c r="N57" s="595"/>
      <c r="O57" s="594"/>
      <c r="P57" s="594"/>
      <c r="Q57" s="594"/>
      <c r="R57" s="594"/>
      <c r="S57" s="594"/>
      <c r="T57" s="594"/>
      <c r="U57" s="594"/>
      <c r="V57" s="594"/>
      <c r="W57" s="594"/>
      <c r="X57" s="594"/>
      <c r="Y57" s="595"/>
      <c r="Z57" s="604"/>
      <c r="AA57" s="605"/>
      <c r="AB57" s="605"/>
      <c r="AC57" s="606"/>
      <c r="AD57" s="607"/>
      <c r="AE57" s="608"/>
      <c r="AF57" s="608"/>
      <c r="AG57" s="440"/>
      <c r="AH57" s="440"/>
      <c r="AI57" s="440"/>
      <c r="AJ57" s="584"/>
      <c r="AK57" s="609"/>
      <c r="AL57" s="441"/>
      <c r="AM57" s="607"/>
      <c r="AN57" s="608"/>
      <c r="AO57" s="608"/>
      <c r="AP57" s="440"/>
      <c r="AQ57" s="609"/>
    </row>
    <row r="58" spans="1:43" ht="24" hidden="1" x14ac:dyDescent="0.2">
      <c r="A58" s="602"/>
      <c r="B58" s="603" t="s">
        <v>404</v>
      </c>
      <c r="C58" s="593"/>
      <c r="D58" s="594"/>
      <c r="E58" s="594"/>
      <c r="F58" s="594"/>
      <c r="G58" s="594"/>
      <c r="H58" s="594"/>
      <c r="I58" s="594"/>
      <c r="J58" s="594"/>
      <c r="K58" s="594"/>
      <c r="L58" s="594"/>
      <c r="M58" s="594"/>
      <c r="N58" s="595"/>
      <c r="O58" s="594"/>
      <c r="P58" s="594"/>
      <c r="Q58" s="594"/>
      <c r="R58" s="594"/>
      <c r="S58" s="594"/>
      <c r="T58" s="594"/>
      <c r="U58" s="594"/>
      <c r="V58" s="594"/>
      <c r="W58" s="594"/>
      <c r="X58" s="594"/>
      <c r="Y58" s="595"/>
      <c r="Z58" s="604"/>
      <c r="AA58" s="605"/>
      <c r="AB58" s="605"/>
      <c r="AC58" s="606"/>
      <c r="AD58" s="607"/>
      <c r="AE58" s="608"/>
      <c r="AF58" s="608"/>
      <c r="AG58" s="440"/>
      <c r="AH58" s="440"/>
      <c r="AI58" s="440"/>
      <c r="AJ58" s="584"/>
      <c r="AK58" s="609"/>
      <c r="AL58" s="441"/>
      <c r="AM58" s="607"/>
      <c r="AN58" s="608"/>
      <c r="AO58" s="608"/>
      <c r="AP58" s="440"/>
      <c r="AQ58" s="609"/>
    </row>
    <row r="59" spans="1:43" ht="24" hidden="1" x14ac:dyDescent="0.2">
      <c r="A59" s="602"/>
      <c r="B59" s="603" t="s">
        <v>424</v>
      </c>
      <c r="C59" s="593"/>
      <c r="D59" s="594"/>
      <c r="E59" s="594"/>
      <c r="F59" s="594"/>
      <c r="G59" s="594"/>
      <c r="H59" s="594"/>
      <c r="I59" s="594"/>
      <c r="J59" s="594"/>
      <c r="K59" s="594"/>
      <c r="L59" s="594"/>
      <c r="M59" s="594"/>
      <c r="N59" s="595"/>
      <c r="O59" s="594"/>
      <c r="P59" s="594"/>
      <c r="Q59" s="594"/>
      <c r="R59" s="594"/>
      <c r="S59" s="594"/>
      <c r="T59" s="594"/>
      <c r="U59" s="594"/>
      <c r="V59" s="594"/>
      <c r="W59" s="594"/>
      <c r="X59" s="594"/>
      <c r="Y59" s="595"/>
      <c r="Z59" s="604"/>
      <c r="AA59" s="605"/>
      <c r="AB59" s="605"/>
      <c r="AC59" s="606"/>
      <c r="AD59" s="607"/>
      <c r="AE59" s="608"/>
      <c r="AF59" s="608"/>
      <c r="AG59" s="440"/>
      <c r="AH59" s="440"/>
      <c r="AI59" s="440"/>
      <c r="AJ59" s="584"/>
      <c r="AK59" s="609"/>
      <c r="AL59" s="441"/>
      <c r="AM59" s="607"/>
      <c r="AN59" s="608"/>
      <c r="AO59" s="608"/>
      <c r="AP59" s="440"/>
      <c r="AQ59" s="609"/>
    </row>
    <row r="60" spans="1:43" hidden="1" x14ac:dyDescent="0.2">
      <c r="A60" s="602"/>
      <c r="B60" s="603" t="s">
        <v>407</v>
      </c>
      <c r="C60" s="593"/>
      <c r="D60" s="594"/>
      <c r="E60" s="594"/>
      <c r="F60" s="594"/>
      <c r="G60" s="594"/>
      <c r="H60" s="594"/>
      <c r="I60" s="594"/>
      <c r="J60" s="594"/>
      <c r="K60" s="594"/>
      <c r="L60" s="594"/>
      <c r="M60" s="594"/>
      <c r="N60" s="595"/>
      <c r="O60" s="594"/>
      <c r="P60" s="594"/>
      <c r="Q60" s="594"/>
      <c r="R60" s="594"/>
      <c r="S60" s="594"/>
      <c r="T60" s="594"/>
      <c r="U60" s="594"/>
      <c r="V60" s="594"/>
      <c r="W60" s="594"/>
      <c r="X60" s="594"/>
      <c r="Y60" s="595"/>
      <c r="Z60" s="604"/>
      <c r="AA60" s="605"/>
      <c r="AB60" s="605"/>
      <c r="AC60" s="606"/>
      <c r="AD60" s="607"/>
      <c r="AE60" s="608"/>
      <c r="AF60" s="608"/>
      <c r="AG60" s="440"/>
      <c r="AH60" s="440"/>
      <c r="AI60" s="440"/>
      <c r="AJ60" s="584"/>
      <c r="AK60" s="609"/>
      <c r="AL60" s="441"/>
      <c r="AM60" s="607"/>
      <c r="AN60" s="608"/>
      <c r="AO60" s="608"/>
      <c r="AP60" s="440"/>
      <c r="AQ60" s="609"/>
    </row>
    <row r="61" spans="1:43" hidden="1" x14ac:dyDescent="0.2">
      <c r="A61" s="602"/>
      <c r="B61" s="603" t="s">
        <v>408</v>
      </c>
      <c r="C61" s="593"/>
      <c r="D61" s="594"/>
      <c r="E61" s="594"/>
      <c r="F61" s="594"/>
      <c r="G61" s="594"/>
      <c r="H61" s="594"/>
      <c r="I61" s="594"/>
      <c r="J61" s="594"/>
      <c r="K61" s="594"/>
      <c r="L61" s="594"/>
      <c r="M61" s="594"/>
      <c r="N61" s="595"/>
      <c r="O61" s="594"/>
      <c r="P61" s="594"/>
      <c r="Q61" s="594"/>
      <c r="R61" s="594"/>
      <c r="S61" s="594"/>
      <c r="T61" s="594"/>
      <c r="U61" s="594"/>
      <c r="V61" s="594"/>
      <c r="W61" s="594"/>
      <c r="X61" s="594"/>
      <c r="Y61" s="595"/>
      <c r="Z61" s="604"/>
      <c r="AA61" s="605"/>
      <c r="AB61" s="605"/>
      <c r="AC61" s="606"/>
      <c r="AD61" s="607"/>
      <c r="AE61" s="608"/>
      <c r="AF61" s="608"/>
      <c r="AG61" s="440"/>
      <c r="AH61" s="440"/>
      <c r="AI61" s="440"/>
      <c r="AJ61" s="584"/>
      <c r="AK61" s="609"/>
      <c r="AL61" s="441"/>
      <c r="AM61" s="607"/>
      <c r="AN61" s="608"/>
      <c r="AO61" s="608"/>
      <c r="AP61" s="440"/>
      <c r="AQ61" s="609"/>
    </row>
    <row r="62" spans="1:43" hidden="1" x14ac:dyDescent="0.2">
      <c r="A62" s="602"/>
      <c r="B62" s="603" t="s">
        <v>409</v>
      </c>
      <c r="C62" s="593"/>
      <c r="D62" s="594"/>
      <c r="E62" s="594"/>
      <c r="F62" s="594"/>
      <c r="G62" s="594"/>
      <c r="H62" s="594"/>
      <c r="I62" s="594"/>
      <c r="J62" s="594"/>
      <c r="K62" s="594"/>
      <c r="L62" s="594"/>
      <c r="M62" s="594"/>
      <c r="N62" s="595"/>
      <c r="O62" s="594"/>
      <c r="P62" s="594"/>
      <c r="Q62" s="594"/>
      <c r="R62" s="594"/>
      <c r="S62" s="594"/>
      <c r="T62" s="594"/>
      <c r="U62" s="594"/>
      <c r="V62" s="594"/>
      <c r="W62" s="594"/>
      <c r="X62" s="594"/>
      <c r="Y62" s="595"/>
      <c r="Z62" s="604"/>
      <c r="AA62" s="605"/>
      <c r="AB62" s="605"/>
      <c r="AC62" s="606"/>
      <c r="AD62" s="607"/>
      <c r="AE62" s="608"/>
      <c r="AF62" s="608"/>
      <c r="AG62" s="440"/>
      <c r="AH62" s="440"/>
      <c r="AI62" s="440"/>
      <c r="AJ62" s="584"/>
      <c r="AK62" s="609"/>
      <c r="AL62" s="441"/>
      <c r="AM62" s="607"/>
      <c r="AN62" s="608"/>
      <c r="AO62" s="608"/>
      <c r="AP62" s="440"/>
      <c r="AQ62" s="609"/>
    </row>
    <row r="63" spans="1:43" hidden="1" x14ac:dyDescent="0.2">
      <c r="A63" s="602"/>
      <c r="B63" s="603" t="s">
        <v>410</v>
      </c>
      <c r="C63" s="593"/>
      <c r="D63" s="594"/>
      <c r="E63" s="594"/>
      <c r="F63" s="594"/>
      <c r="G63" s="594"/>
      <c r="H63" s="594"/>
      <c r="I63" s="594"/>
      <c r="J63" s="594"/>
      <c r="K63" s="594"/>
      <c r="L63" s="594"/>
      <c r="M63" s="594"/>
      <c r="N63" s="595"/>
      <c r="O63" s="594"/>
      <c r="P63" s="594"/>
      <c r="Q63" s="594"/>
      <c r="R63" s="594"/>
      <c r="S63" s="594"/>
      <c r="T63" s="594"/>
      <c r="U63" s="594"/>
      <c r="V63" s="594"/>
      <c r="W63" s="594"/>
      <c r="X63" s="594"/>
      <c r="Y63" s="595"/>
      <c r="Z63" s="604"/>
      <c r="AA63" s="605"/>
      <c r="AB63" s="605"/>
      <c r="AC63" s="606"/>
      <c r="AD63" s="607"/>
      <c r="AE63" s="608"/>
      <c r="AF63" s="608"/>
      <c r="AG63" s="440"/>
      <c r="AH63" s="440"/>
      <c r="AI63" s="440"/>
      <c r="AJ63" s="584"/>
      <c r="AK63" s="609"/>
      <c r="AL63" s="441"/>
      <c r="AM63" s="607"/>
      <c r="AN63" s="608"/>
      <c r="AO63" s="608"/>
      <c r="AP63" s="440"/>
      <c r="AQ63" s="609"/>
    </row>
    <row r="64" spans="1:43" hidden="1" x14ac:dyDescent="0.2">
      <c r="A64" s="602"/>
      <c r="B64" s="603" t="s">
        <v>411</v>
      </c>
      <c r="C64" s="593"/>
      <c r="D64" s="594"/>
      <c r="E64" s="594"/>
      <c r="F64" s="594"/>
      <c r="G64" s="594"/>
      <c r="H64" s="594"/>
      <c r="I64" s="594"/>
      <c r="J64" s="594"/>
      <c r="K64" s="594"/>
      <c r="L64" s="594"/>
      <c r="M64" s="594"/>
      <c r="N64" s="595"/>
      <c r="O64" s="594"/>
      <c r="P64" s="594"/>
      <c r="Q64" s="594"/>
      <c r="R64" s="594"/>
      <c r="S64" s="594"/>
      <c r="T64" s="594"/>
      <c r="U64" s="594"/>
      <c r="V64" s="594"/>
      <c r="W64" s="594"/>
      <c r="X64" s="594"/>
      <c r="Y64" s="595"/>
      <c r="Z64" s="604"/>
      <c r="AA64" s="605"/>
      <c r="AB64" s="605"/>
      <c r="AC64" s="606"/>
      <c r="AD64" s="607"/>
      <c r="AE64" s="608"/>
      <c r="AF64" s="608"/>
      <c r="AG64" s="440"/>
      <c r="AH64" s="440"/>
      <c r="AI64" s="440"/>
      <c r="AJ64" s="584"/>
      <c r="AK64" s="609"/>
      <c r="AL64" s="441"/>
      <c r="AM64" s="607"/>
      <c r="AN64" s="608"/>
      <c r="AO64" s="608"/>
      <c r="AP64" s="440"/>
      <c r="AQ64" s="609"/>
    </row>
    <row r="65" spans="1:43" hidden="1" x14ac:dyDescent="0.2">
      <c r="A65" s="602"/>
      <c r="B65" s="603" t="s">
        <v>412</v>
      </c>
      <c r="C65" s="593"/>
      <c r="D65" s="594"/>
      <c r="E65" s="594"/>
      <c r="F65" s="594"/>
      <c r="G65" s="594"/>
      <c r="H65" s="594"/>
      <c r="I65" s="594"/>
      <c r="J65" s="594"/>
      <c r="K65" s="594"/>
      <c r="L65" s="594"/>
      <c r="M65" s="594"/>
      <c r="N65" s="595"/>
      <c r="O65" s="594"/>
      <c r="P65" s="594"/>
      <c r="Q65" s="594"/>
      <c r="R65" s="594"/>
      <c r="S65" s="594"/>
      <c r="T65" s="594"/>
      <c r="U65" s="594"/>
      <c r="V65" s="594"/>
      <c r="W65" s="594"/>
      <c r="X65" s="594"/>
      <c r="Y65" s="595"/>
      <c r="Z65" s="604"/>
      <c r="AA65" s="605"/>
      <c r="AB65" s="605"/>
      <c r="AC65" s="606"/>
      <c r="AD65" s="607"/>
      <c r="AE65" s="608"/>
      <c r="AF65" s="608"/>
      <c r="AG65" s="440"/>
      <c r="AH65" s="440"/>
      <c r="AI65" s="440"/>
      <c r="AJ65" s="584"/>
      <c r="AK65" s="609"/>
      <c r="AL65" s="441"/>
      <c r="AM65" s="607"/>
      <c r="AN65" s="608"/>
      <c r="AO65" s="608"/>
      <c r="AP65" s="440"/>
      <c r="AQ65" s="609"/>
    </row>
    <row r="66" spans="1:43" hidden="1" x14ac:dyDescent="0.2">
      <c r="A66" s="602"/>
      <c r="B66" s="603" t="s">
        <v>469</v>
      </c>
      <c r="C66" s="593"/>
      <c r="D66" s="594"/>
      <c r="E66" s="594"/>
      <c r="F66" s="594"/>
      <c r="G66" s="594"/>
      <c r="H66" s="594"/>
      <c r="I66" s="594"/>
      <c r="J66" s="594"/>
      <c r="K66" s="594"/>
      <c r="L66" s="594"/>
      <c r="M66" s="594"/>
      <c r="N66" s="595"/>
      <c r="O66" s="594"/>
      <c r="P66" s="594"/>
      <c r="Q66" s="594"/>
      <c r="R66" s="594"/>
      <c r="S66" s="594"/>
      <c r="T66" s="594"/>
      <c r="U66" s="594"/>
      <c r="V66" s="594"/>
      <c r="W66" s="594"/>
      <c r="X66" s="594"/>
      <c r="Y66" s="595"/>
      <c r="Z66" s="604"/>
      <c r="AA66" s="605"/>
      <c r="AB66" s="605"/>
      <c r="AC66" s="606"/>
      <c r="AD66" s="607"/>
      <c r="AE66" s="608"/>
      <c r="AF66" s="608"/>
      <c r="AG66" s="440"/>
      <c r="AH66" s="440"/>
      <c r="AI66" s="440"/>
      <c r="AJ66" s="584"/>
      <c r="AK66" s="609"/>
      <c r="AL66" s="441"/>
      <c r="AM66" s="607"/>
      <c r="AN66" s="608"/>
      <c r="AO66" s="608"/>
      <c r="AP66" s="440"/>
      <c r="AQ66" s="609"/>
    </row>
    <row r="67" spans="1:43" hidden="1" x14ac:dyDescent="0.2">
      <c r="A67" s="602"/>
      <c r="B67" s="603" t="s">
        <v>474</v>
      </c>
      <c r="C67" s="593"/>
      <c r="D67" s="594"/>
      <c r="E67" s="594"/>
      <c r="F67" s="594"/>
      <c r="G67" s="594"/>
      <c r="H67" s="594"/>
      <c r="I67" s="594"/>
      <c r="J67" s="594"/>
      <c r="K67" s="594"/>
      <c r="L67" s="594"/>
      <c r="M67" s="594"/>
      <c r="N67" s="595"/>
      <c r="O67" s="594"/>
      <c r="P67" s="594"/>
      <c r="Q67" s="594"/>
      <c r="R67" s="594"/>
      <c r="S67" s="594"/>
      <c r="T67" s="594"/>
      <c r="U67" s="594"/>
      <c r="V67" s="594"/>
      <c r="W67" s="594"/>
      <c r="X67" s="594"/>
      <c r="Y67" s="595"/>
      <c r="Z67" s="604"/>
      <c r="AA67" s="605"/>
      <c r="AB67" s="605"/>
      <c r="AC67" s="606"/>
      <c r="AD67" s="607"/>
      <c r="AE67" s="608"/>
      <c r="AF67" s="608"/>
      <c r="AG67" s="440"/>
      <c r="AH67" s="440"/>
      <c r="AI67" s="440"/>
      <c r="AJ67" s="584"/>
      <c r="AK67" s="609"/>
      <c r="AL67" s="441"/>
      <c r="AM67" s="607"/>
      <c r="AN67" s="608"/>
      <c r="AO67" s="608"/>
      <c r="AP67" s="440"/>
      <c r="AQ67" s="609"/>
    </row>
    <row r="68" spans="1:43" ht="24" hidden="1" x14ac:dyDescent="0.2">
      <c r="A68" s="602"/>
      <c r="B68" s="603" t="s">
        <v>470</v>
      </c>
      <c r="C68" s="593"/>
      <c r="D68" s="594"/>
      <c r="E68" s="594"/>
      <c r="F68" s="594"/>
      <c r="G68" s="594"/>
      <c r="H68" s="594"/>
      <c r="I68" s="594"/>
      <c r="J68" s="594"/>
      <c r="K68" s="594"/>
      <c r="L68" s="594"/>
      <c r="M68" s="594"/>
      <c r="N68" s="595"/>
      <c r="O68" s="594"/>
      <c r="P68" s="594"/>
      <c r="Q68" s="594"/>
      <c r="R68" s="594"/>
      <c r="S68" s="594"/>
      <c r="T68" s="594"/>
      <c r="U68" s="594"/>
      <c r="V68" s="594"/>
      <c r="W68" s="594"/>
      <c r="X68" s="594"/>
      <c r="Y68" s="595"/>
      <c r="Z68" s="604"/>
      <c r="AA68" s="605"/>
      <c r="AB68" s="605"/>
      <c r="AC68" s="606"/>
      <c r="AD68" s="607"/>
      <c r="AE68" s="608"/>
      <c r="AF68" s="608"/>
      <c r="AG68" s="440"/>
      <c r="AH68" s="440"/>
      <c r="AI68" s="440"/>
      <c r="AJ68" s="584"/>
      <c r="AK68" s="609"/>
      <c r="AL68" s="441"/>
      <c r="AM68" s="607"/>
      <c r="AN68" s="608"/>
      <c r="AO68" s="608"/>
      <c r="AP68" s="440"/>
      <c r="AQ68" s="609"/>
    </row>
    <row r="69" spans="1:43" hidden="1" x14ac:dyDescent="0.2">
      <c r="A69" s="602"/>
      <c r="B69" s="603" t="s">
        <v>475</v>
      </c>
      <c r="C69" s="593"/>
      <c r="D69" s="594"/>
      <c r="E69" s="594"/>
      <c r="F69" s="594"/>
      <c r="G69" s="594"/>
      <c r="H69" s="594"/>
      <c r="I69" s="594"/>
      <c r="J69" s="594"/>
      <c r="K69" s="594"/>
      <c r="L69" s="594"/>
      <c r="M69" s="594"/>
      <c r="N69" s="595"/>
      <c r="O69" s="594"/>
      <c r="P69" s="594"/>
      <c r="Q69" s="594"/>
      <c r="R69" s="594"/>
      <c r="S69" s="594"/>
      <c r="T69" s="594"/>
      <c r="U69" s="594"/>
      <c r="V69" s="594"/>
      <c r="W69" s="594"/>
      <c r="X69" s="594"/>
      <c r="Y69" s="595"/>
      <c r="Z69" s="604"/>
      <c r="AA69" s="605"/>
      <c r="AB69" s="605"/>
      <c r="AC69" s="606"/>
      <c r="AD69" s="607"/>
      <c r="AE69" s="608"/>
      <c r="AF69" s="608"/>
      <c r="AG69" s="440"/>
      <c r="AH69" s="440"/>
      <c r="AI69" s="440"/>
      <c r="AJ69" s="584"/>
      <c r="AK69" s="609"/>
      <c r="AL69" s="441"/>
      <c r="AM69" s="607"/>
      <c r="AN69" s="608"/>
      <c r="AO69" s="608"/>
      <c r="AP69" s="440"/>
      <c r="AQ69" s="609"/>
    </row>
    <row r="70" spans="1:43" hidden="1" x14ac:dyDescent="0.2">
      <c r="A70" s="602"/>
      <c r="B70" s="603" t="s">
        <v>471</v>
      </c>
      <c r="C70" s="593"/>
      <c r="D70" s="594"/>
      <c r="E70" s="594"/>
      <c r="F70" s="594"/>
      <c r="G70" s="594"/>
      <c r="H70" s="594"/>
      <c r="I70" s="594"/>
      <c r="J70" s="594"/>
      <c r="K70" s="594"/>
      <c r="L70" s="594"/>
      <c r="M70" s="594"/>
      <c r="N70" s="595"/>
      <c r="O70" s="594"/>
      <c r="P70" s="594"/>
      <c r="Q70" s="594"/>
      <c r="R70" s="594"/>
      <c r="S70" s="594"/>
      <c r="T70" s="594"/>
      <c r="U70" s="594"/>
      <c r="V70" s="594"/>
      <c r="W70" s="594"/>
      <c r="X70" s="594"/>
      <c r="Y70" s="595"/>
      <c r="Z70" s="604"/>
      <c r="AA70" s="605"/>
      <c r="AB70" s="605"/>
      <c r="AC70" s="606"/>
      <c r="AD70" s="607"/>
      <c r="AE70" s="608"/>
      <c r="AF70" s="608"/>
      <c r="AG70" s="440"/>
      <c r="AH70" s="440"/>
      <c r="AI70" s="440"/>
      <c r="AJ70" s="584"/>
      <c r="AK70" s="609"/>
      <c r="AL70" s="441"/>
      <c r="AM70" s="607"/>
      <c r="AN70" s="608"/>
      <c r="AO70" s="608"/>
      <c r="AP70" s="440"/>
      <c r="AQ70" s="609"/>
    </row>
    <row r="71" spans="1:43" ht="39.6" hidden="1" customHeight="1" x14ac:dyDescent="0.2">
      <c r="A71" s="602"/>
      <c r="B71" s="603" t="s">
        <v>472</v>
      </c>
      <c r="C71" s="593"/>
      <c r="D71" s="594"/>
      <c r="E71" s="594"/>
      <c r="F71" s="594"/>
      <c r="G71" s="594"/>
      <c r="H71" s="594"/>
      <c r="I71" s="594"/>
      <c r="J71" s="594"/>
      <c r="K71" s="594"/>
      <c r="L71" s="594"/>
      <c r="M71" s="594"/>
      <c r="N71" s="595"/>
      <c r="O71" s="594"/>
      <c r="P71" s="594"/>
      <c r="Q71" s="594"/>
      <c r="R71" s="594"/>
      <c r="S71" s="594"/>
      <c r="T71" s="594"/>
      <c r="U71" s="594"/>
      <c r="V71" s="594"/>
      <c r="W71" s="594"/>
      <c r="X71" s="594"/>
      <c r="Y71" s="595"/>
      <c r="Z71" s="604"/>
      <c r="AA71" s="605"/>
      <c r="AB71" s="605"/>
      <c r="AC71" s="606"/>
      <c r="AD71" s="607"/>
      <c r="AE71" s="608"/>
      <c r="AF71" s="608"/>
      <c r="AG71" s="440"/>
      <c r="AH71" s="440"/>
      <c r="AI71" s="440"/>
      <c r="AJ71" s="584"/>
      <c r="AK71" s="609"/>
      <c r="AL71" s="441"/>
      <c r="AM71" s="607"/>
      <c r="AN71" s="608"/>
      <c r="AO71" s="608"/>
      <c r="AP71" s="440"/>
      <c r="AQ71" s="609"/>
    </row>
    <row r="72" spans="1:43" ht="24" x14ac:dyDescent="0.2">
      <c r="A72" s="610"/>
      <c r="B72" s="611" t="s">
        <v>413</v>
      </c>
      <c r="C72" s="249"/>
      <c r="D72" s="250"/>
      <c r="E72" s="250"/>
      <c r="F72" s="250"/>
      <c r="G72" s="250"/>
      <c r="H72" s="250"/>
      <c r="I72" s="250"/>
      <c r="J72" s="250"/>
      <c r="K72" s="250"/>
      <c r="L72" s="250"/>
      <c r="M72" s="250"/>
      <c r="N72" s="251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1"/>
      <c r="Z72" s="587"/>
      <c r="AA72" s="588"/>
      <c r="AB72" s="588"/>
      <c r="AC72" s="588"/>
      <c r="AD72" s="612"/>
      <c r="AE72" s="613"/>
      <c r="AF72" s="613"/>
      <c r="AG72" s="440"/>
      <c r="AH72" s="440"/>
      <c r="AI72" s="440"/>
      <c r="AJ72" s="584"/>
      <c r="AK72" s="590"/>
      <c r="AL72" s="441"/>
      <c r="AM72" s="612"/>
      <c r="AN72" s="613"/>
      <c r="AO72" s="613"/>
      <c r="AP72" s="440"/>
      <c r="AQ72" s="590"/>
    </row>
    <row r="73" spans="1:43" ht="15" customHeight="1" x14ac:dyDescent="0.2">
      <c r="A73" s="591" t="s">
        <v>673</v>
      </c>
      <c r="B73" s="592" t="s">
        <v>390</v>
      </c>
      <c r="C73" s="615"/>
      <c r="D73" s="616"/>
      <c r="E73" s="616"/>
      <c r="F73" s="616"/>
      <c r="G73" s="616"/>
      <c r="H73" s="616" t="s">
        <v>680</v>
      </c>
      <c r="I73" s="616" t="s">
        <v>680</v>
      </c>
      <c r="J73" s="616" t="s">
        <v>680</v>
      </c>
      <c r="K73" s="616" t="s">
        <v>680</v>
      </c>
      <c r="L73" s="616" t="s">
        <v>680</v>
      </c>
      <c r="M73" s="616" t="s">
        <v>680</v>
      </c>
      <c r="N73" s="617" t="s">
        <v>680</v>
      </c>
      <c r="O73" s="616" t="s">
        <v>680</v>
      </c>
      <c r="P73" s="616" t="s">
        <v>680</v>
      </c>
      <c r="Q73" s="616" t="s">
        <v>680</v>
      </c>
      <c r="R73" s="616"/>
      <c r="S73" s="616"/>
      <c r="T73" s="616"/>
      <c r="U73" s="616"/>
      <c r="V73" s="616"/>
      <c r="W73" s="616"/>
      <c r="X73" s="616"/>
      <c r="Y73" s="617"/>
      <c r="Z73" s="618"/>
      <c r="AA73" s="619"/>
      <c r="AB73" s="619"/>
      <c r="AC73" s="588"/>
      <c r="AD73" s="599">
        <v>385</v>
      </c>
      <c r="AE73" s="600">
        <v>448</v>
      </c>
      <c r="AF73" s="600">
        <v>880</v>
      </c>
      <c r="AG73" s="440">
        <f t="shared" si="0"/>
        <v>338800</v>
      </c>
      <c r="AH73" s="440">
        <f t="shared" si="1"/>
        <v>394240</v>
      </c>
      <c r="AI73" s="440">
        <f t="shared" si="2"/>
        <v>55440</v>
      </c>
      <c r="AJ73" s="584">
        <v>54978</v>
      </c>
      <c r="AK73" s="621"/>
      <c r="AL73" s="599"/>
      <c r="AM73" s="599"/>
      <c r="AN73" s="600"/>
      <c r="AO73" s="600"/>
      <c r="AP73" s="440">
        <f t="shared" si="3"/>
        <v>0</v>
      </c>
      <c r="AQ73" s="621"/>
    </row>
    <row r="74" spans="1:43" ht="48" x14ac:dyDescent="0.2">
      <c r="A74" s="602"/>
      <c r="B74" s="603" t="s">
        <v>473</v>
      </c>
      <c r="C74" s="593"/>
      <c r="D74" s="594"/>
      <c r="E74" s="594"/>
      <c r="F74" s="594"/>
      <c r="G74" s="594"/>
      <c r="H74" s="594"/>
      <c r="I74" s="594"/>
      <c r="J74" s="594"/>
      <c r="K74" s="594"/>
      <c r="L74" s="594"/>
      <c r="M74" s="594"/>
      <c r="N74" s="595"/>
      <c r="O74" s="594"/>
      <c r="P74" s="594"/>
      <c r="Q74" s="594"/>
      <c r="R74" s="594"/>
      <c r="S74" s="594"/>
      <c r="T74" s="594"/>
      <c r="U74" s="594"/>
      <c r="V74" s="594"/>
      <c r="W74" s="594"/>
      <c r="X74" s="594"/>
      <c r="Y74" s="595"/>
      <c r="Z74" s="604"/>
      <c r="AA74" s="605"/>
      <c r="AB74" s="605"/>
      <c r="AC74" s="588"/>
      <c r="AD74" s="607"/>
      <c r="AE74" s="608"/>
      <c r="AF74" s="608"/>
      <c r="AG74" s="440"/>
      <c r="AH74" s="440"/>
      <c r="AI74" s="440"/>
      <c r="AJ74" s="584"/>
      <c r="AK74" s="609"/>
      <c r="AL74" s="607"/>
      <c r="AM74" s="607"/>
      <c r="AN74" s="608"/>
      <c r="AO74" s="608"/>
      <c r="AP74" s="440"/>
      <c r="AQ74" s="609"/>
    </row>
    <row r="75" spans="1:43" ht="48" x14ac:dyDescent="0.2">
      <c r="A75" s="610"/>
      <c r="B75" s="611" t="s">
        <v>391</v>
      </c>
      <c r="C75" s="249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1"/>
      <c r="O75" s="250"/>
      <c r="P75" s="250"/>
      <c r="Q75" s="250"/>
      <c r="R75" s="250"/>
      <c r="S75" s="250"/>
      <c r="T75" s="250"/>
      <c r="U75" s="250"/>
      <c r="V75" s="250"/>
      <c r="W75" s="250"/>
      <c r="X75" s="250"/>
      <c r="Y75" s="251"/>
      <c r="Z75" s="587"/>
      <c r="AA75" s="588"/>
      <c r="AB75" s="588"/>
      <c r="AC75" s="588"/>
      <c r="AD75" s="612"/>
      <c r="AE75" s="613"/>
      <c r="AF75" s="613"/>
      <c r="AG75" s="440"/>
      <c r="AH75" s="440"/>
      <c r="AI75" s="440"/>
      <c r="AJ75" s="584"/>
      <c r="AK75" s="590"/>
      <c r="AL75" s="612"/>
      <c r="AM75" s="612"/>
      <c r="AN75" s="613"/>
      <c r="AO75" s="613"/>
      <c r="AP75" s="440"/>
      <c r="AQ75" s="590"/>
    </row>
    <row r="76" spans="1:43" ht="15" customHeight="1" x14ac:dyDescent="0.2">
      <c r="A76" s="591" t="s">
        <v>674</v>
      </c>
      <c r="B76" s="592" t="s">
        <v>405</v>
      </c>
      <c r="C76" s="615"/>
      <c r="D76" s="616"/>
      <c r="E76" s="616"/>
      <c r="F76" s="616"/>
      <c r="G76" s="616" t="s">
        <v>680</v>
      </c>
      <c r="H76" s="616" t="s">
        <v>680</v>
      </c>
      <c r="I76" s="616" t="s">
        <v>680</v>
      </c>
      <c r="J76" s="616" t="s">
        <v>680</v>
      </c>
      <c r="K76" s="616" t="s">
        <v>680</v>
      </c>
      <c r="L76" s="616" t="s">
        <v>680</v>
      </c>
      <c r="M76" s="616" t="s">
        <v>680</v>
      </c>
      <c r="N76" s="617" t="s">
        <v>680</v>
      </c>
      <c r="O76" s="616" t="s">
        <v>680</v>
      </c>
      <c r="P76" s="616" t="s">
        <v>680</v>
      </c>
      <c r="Q76" s="616" t="s">
        <v>680</v>
      </c>
      <c r="R76" s="616" t="s">
        <v>680</v>
      </c>
      <c r="S76" s="616" t="s">
        <v>680</v>
      </c>
      <c r="T76" s="616" t="s">
        <v>680</v>
      </c>
      <c r="U76" s="616" t="s">
        <v>680</v>
      </c>
      <c r="V76" s="616" t="s">
        <v>680</v>
      </c>
      <c r="W76" s="616" t="s">
        <v>680</v>
      </c>
      <c r="X76" s="616" t="s">
        <v>680</v>
      </c>
      <c r="Y76" s="617"/>
      <c r="Z76" s="618"/>
      <c r="AA76" s="619"/>
      <c r="AB76" s="619"/>
      <c r="AC76" s="588"/>
      <c r="AD76" s="599">
        <v>312</v>
      </c>
      <c r="AE76" s="600">
        <v>405</v>
      </c>
      <c r="AF76" s="600">
        <v>880</v>
      </c>
      <c r="AG76" s="440">
        <f t="shared" si="0"/>
        <v>274560</v>
      </c>
      <c r="AH76" s="440">
        <f t="shared" si="1"/>
        <v>356400</v>
      </c>
      <c r="AI76" s="440">
        <f t="shared" si="2"/>
        <v>81840</v>
      </c>
      <c r="AJ76" s="584">
        <v>47322</v>
      </c>
      <c r="AK76" s="621"/>
      <c r="AL76" s="599"/>
      <c r="AM76" s="599"/>
      <c r="AN76" s="600"/>
      <c r="AO76" s="600"/>
      <c r="AP76" s="440">
        <f t="shared" si="3"/>
        <v>0</v>
      </c>
      <c r="AQ76" s="621"/>
    </row>
    <row r="77" spans="1:43" ht="36" x14ac:dyDescent="0.2">
      <c r="A77" s="602"/>
      <c r="B77" s="603" t="s">
        <v>406</v>
      </c>
      <c r="C77" s="593"/>
      <c r="D77" s="594"/>
      <c r="E77" s="594"/>
      <c r="F77" s="594"/>
      <c r="G77" s="594"/>
      <c r="H77" s="594"/>
      <c r="I77" s="594"/>
      <c r="J77" s="594"/>
      <c r="K77" s="594"/>
      <c r="L77" s="594"/>
      <c r="M77" s="594"/>
      <c r="N77" s="595"/>
      <c r="O77" s="594"/>
      <c r="P77" s="594"/>
      <c r="Q77" s="594"/>
      <c r="R77" s="594"/>
      <c r="S77" s="594"/>
      <c r="T77" s="594"/>
      <c r="U77" s="594"/>
      <c r="V77" s="594"/>
      <c r="W77" s="594"/>
      <c r="X77" s="594"/>
      <c r="Y77" s="595"/>
      <c r="Z77" s="604"/>
      <c r="AA77" s="605"/>
      <c r="AB77" s="605"/>
      <c r="AC77" s="588"/>
      <c r="AD77" s="607"/>
      <c r="AE77" s="608"/>
      <c r="AF77" s="608"/>
      <c r="AG77" s="440"/>
      <c r="AH77" s="440"/>
      <c r="AI77" s="440"/>
      <c r="AJ77" s="584"/>
      <c r="AK77" s="609"/>
      <c r="AL77" s="607"/>
      <c r="AM77" s="607"/>
      <c r="AN77" s="608"/>
      <c r="AO77" s="608"/>
      <c r="AP77" s="440"/>
      <c r="AQ77" s="609"/>
    </row>
    <row r="78" spans="1:43" x14ac:dyDescent="0.2">
      <c r="A78" s="602"/>
      <c r="B78" s="603" t="s">
        <v>454</v>
      </c>
      <c r="C78" s="593"/>
      <c r="D78" s="594"/>
      <c r="E78" s="594"/>
      <c r="F78" s="594"/>
      <c r="G78" s="594"/>
      <c r="H78" s="594"/>
      <c r="I78" s="594"/>
      <c r="J78" s="594"/>
      <c r="K78" s="594"/>
      <c r="L78" s="594"/>
      <c r="M78" s="594"/>
      <c r="N78" s="595"/>
      <c r="O78" s="594"/>
      <c r="P78" s="594"/>
      <c r="Q78" s="594"/>
      <c r="R78" s="594"/>
      <c r="S78" s="594"/>
      <c r="T78" s="594"/>
      <c r="U78" s="594"/>
      <c r="V78" s="594"/>
      <c r="W78" s="594"/>
      <c r="X78" s="594"/>
      <c r="Y78" s="595"/>
      <c r="Z78" s="604"/>
      <c r="AA78" s="605"/>
      <c r="AB78" s="605"/>
      <c r="AC78" s="588"/>
      <c r="AD78" s="607"/>
      <c r="AE78" s="608"/>
      <c r="AF78" s="608"/>
      <c r="AG78" s="440"/>
      <c r="AH78" s="440"/>
      <c r="AI78" s="440"/>
      <c r="AJ78" s="584"/>
      <c r="AK78" s="609"/>
      <c r="AL78" s="607"/>
      <c r="AM78" s="607"/>
      <c r="AN78" s="608"/>
      <c r="AO78" s="608"/>
      <c r="AP78" s="440"/>
      <c r="AQ78" s="609"/>
    </row>
    <row r="79" spans="1:43" x14ac:dyDescent="0.2">
      <c r="A79" s="602"/>
      <c r="B79" s="603" t="s">
        <v>455</v>
      </c>
      <c r="C79" s="593"/>
      <c r="D79" s="594"/>
      <c r="E79" s="594"/>
      <c r="F79" s="594"/>
      <c r="G79" s="594"/>
      <c r="H79" s="594"/>
      <c r="I79" s="594"/>
      <c r="J79" s="594"/>
      <c r="K79" s="594"/>
      <c r="L79" s="594"/>
      <c r="M79" s="594"/>
      <c r="N79" s="595"/>
      <c r="O79" s="594"/>
      <c r="P79" s="594"/>
      <c r="Q79" s="594"/>
      <c r="R79" s="594"/>
      <c r="S79" s="594"/>
      <c r="T79" s="594"/>
      <c r="U79" s="594"/>
      <c r="V79" s="594"/>
      <c r="W79" s="594"/>
      <c r="X79" s="594"/>
      <c r="Y79" s="595"/>
      <c r="Z79" s="604"/>
      <c r="AA79" s="605"/>
      <c r="AB79" s="605"/>
      <c r="AC79" s="588"/>
      <c r="AD79" s="607"/>
      <c r="AE79" s="608"/>
      <c r="AF79" s="608"/>
      <c r="AG79" s="440"/>
      <c r="AH79" s="440"/>
      <c r="AI79" s="440"/>
      <c r="AJ79" s="584"/>
      <c r="AK79" s="609"/>
      <c r="AL79" s="607"/>
      <c r="AM79" s="607"/>
      <c r="AN79" s="608"/>
      <c r="AO79" s="608"/>
      <c r="AP79" s="440"/>
      <c r="AQ79" s="609"/>
    </row>
    <row r="80" spans="1:43" x14ac:dyDescent="0.2">
      <c r="A80" s="602"/>
      <c r="B80" s="603" t="s">
        <v>456</v>
      </c>
      <c r="C80" s="593"/>
      <c r="D80" s="594"/>
      <c r="E80" s="594"/>
      <c r="F80" s="594"/>
      <c r="G80" s="594"/>
      <c r="H80" s="594"/>
      <c r="I80" s="594"/>
      <c r="J80" s="594"/>
      <c r="K80" s="594"/>
      <c r="L80" s="594"/>
      <c r="M80" s="594"/>
      <c r="N80" s="595"/>
      <c r="O80" s="594"/>
      <c r="P80" s="594"/>
      <c r="Q80" s="594"/>
      <c r="R80" s="594"/>
      <c r="S80" s="594"/>
      <c r="T80" s="594"/>
      <c r="U80" s="594"/>
      <c r="V80" s="594"/>
      <c r="W80" s="594"/>
      <c r="X80" s="594"/>
      <c r="Y80" s="595"/>
      <c r="Z80" s="604"/>
      <c r="AA80" s="605"/>
      <c r="AB80" s="605"/>
      <c r="AC80" s="588"/>
      <c r="AD80" s="607"/>
      <c r="AE80" s="608"/>
      <c r="AF80" s="608"/>
      <c r="AG80" s="440"/>
      <c r="AH80" s="440"/>
      <c r="AI80" s="440"/>
      <c r="AJ80" s="584"/>
      <c r="AK80" s="609"/>
      <c r="AL80" s="607"/>
      <c r="AM80" s="607"/>
      <c r="AN80" s="608"/>
      <c r="AO80" s="608"/>
      <c r="AP80" s="440"/>
      <c r="AQ80" s="609"/>
    </row>
    <row r="81" spans="1:43" x14ac:dyDescent="0.2">
      <c r="A81" s="602"/>
      <c r="B81" s="603" t="s">
        <v>457</v>
      </c>
      <c r="C81" s="593"/>
      <c r="D81" s="594"/>
      <c r="E81" s="594"/>
      <c r="F81" s="594"/>
      <c r="G81" s="594"/>
      <c r="H81" s="594"/>
      <c r="I81" s="594"/>
      <c r="J81" s="594"/>
      <c r="K81" s="594"/>
      <c r="L81" s="594"/>
      <c r="M81" s="594"/>
      <c r="N81" s="595"/>
      <c r="O81" s="594"/>
      <c r="P81" s="594"/>
      <c r="Q81" s="594"/>
      <c r="R81" s="594"/>
      <c r="S81" s="594"/>
      <c r="T81" s="594"/>
      <c r="U81" s="594"/>
      <c r="V81" s="594"/>
      <c r="W81" s="594"/>
      <c r="X81" s="594"/>
      <c r="Y81" s="595"/>
      <c r="Z81" s="604"/>
      <c r="AA81" s="605"/>
      <c r="AB81" s="605"/>
      <c r="AC81" s="588"/>
      <c r="AD81" s="607"/>
      <c r="AE81" s="608"/>
      <c r="AF81" s="608"/>
      <c r="AG81" s="440"/>
      <c r="AH81" s="440"/>
      <c r="AI81" s="440"/>
      <c r="AJ81" s="584"/>
      <c r="AK81" s="609"/>
      <c r="AL81" s="607"/>
      <c r="AM81" s="607"/>
      <c r="AN81" s="608"/>
      <c r="AO81" s="608"/>
      <c r="AP81" s="440"/>
      <c r="AQ81" s="609"/>
    </row>
    <row r="82" spans="1:43" x14ac:dyDescent="0.2">
      <c r="A82" s="602"/>
      <c r="B82" s="603" t="s">
        <v>458</v>
      </c>
      <c r="C82" s="593"/>
      <c r="D82" s="594"/>
      <c r="E82" s="594"/>
      <c r="F82" s="594"/>
      <c r="G82" s="594"/>
      <c r="H82" s="594"/>
      <c r="I82" s="594"/>
      <c r="J82" s="594"/>
      <c r="K82" s="594"/>
      <c r="L82" s="594"/>
      <c r="M82" s="594"/>
      <c r="N82" s="595"/>
      <c r="O82" s="594"/>
      <c r="P82" s="594"/>
      <c r="Q82" s="594"/>
      <c r="R82" s="594"/>
      <c r="S82" s="594"/>
      <c r="T82" s="594"/>
      <c r="U82" s="594"/>
      <c r="V82" s="594"/>
      <c r="W82" s="594"/>
      <c r="X82" s="594"/>
      <c r="Y82" s="595"/>
      <c r="Z82" s="604"/>
      <c r="AA82" s="605"/>
      <c r="AB82" s="605"/>
      <c r="AC82" s="588"/>
      <c r="AD82" s="607"/>
      <c r="AE82" s="608"/>
      <c r="AF82" s="608"/>
      <c r="AG82" s="440"/>
      <c r="AH82" s="440"/>
      <c r="AI82" s="440"/>
      <c r="AJ82" s="584"/>
      <c r="AK82" s="609"/>
      <c r="AL82" s="607"/>
      <c r="AM82" s="607"/>
      <c r="AN82" s="608"/>
      <c r="AO82" s="608"/>
      <c r="AP82" s="440"/>
      <c r="AQ82" s="609"/>
    </row>
    <row r="83" spans="1:43" x14ac:dyDescent="0.2">
      <c r="A83" s="602"/>
      <c r="B83" s="603" t="s">
        <v>459</v>
      </c>
      <c r="C83" s="593"/>
      <c r="D83" s="594"/>
      <c r="E83" s="594"/>
      <c r="F83" s="594"/>
      <c r="G83" s="594"/>
      <c r="H83" s="594"/>
      <c r="I83" s="594"/>
      <c r="J83" s="594"/>
      <c r="K83" s="594"/>
      <c r="L83" s="594"/>
      <c r="M83" s="594"/>
      <c r="N83" s="595"/>
      <c r="O83" s="594"/>
      <c r="P83" s="594"/>
      <c r="Q83" s="594"/>
      <c r="R83" s="594"/>
      <c r="S83" s="594"/>
      <c r="T83" s="594"/>
      <c r="U83" s="594"/>
      <c r="V83" s="594"/>
      <c r="W83" s="594"/>
      <c r="X83" s="594"/>
      <c r="Y83" s="595"/>
      <c r="Z83" s="604"/>
      <c r="AA83" s="605"/>
      <c r="AB83" s="605"/>
      <c r="AC83" s="588"/>
      <c r="AD83" s="607"/>
      <c r="AE83" s="608"/>
      <c r="AF83" s="608"/>
      <c r="AG83" s="440"/>
      <c r="AH83" s="440"/>
      <c r="AI83" s="440"/>
      <c r="AJ83" s="584"/>
      <c r="AK83" s="609"/>
      <c r="AL83" s="607"/>
      <c r="AM83" s="607"/>
      <c r="AN83" s="608"/>
      <c r="AO83" s="608"/>
      <c r="AP83" s="440"/>
      <c r="AQ83" s="609"/>
    </row>
    <row r="84" spans="1:43" x14ac:dyDescent="0.2">
      <c r="A84" s="602"/>
      <c r="B84" s="603" t="s">
        <v>460</v>
      </c>
      <c r="C84" s="593"/>
      <c r="D84" s="594"/>
      <c r="E84" s="594"/>
      <c r="F84" s="594"/>
      <c r="G84" s="594"/>
      <c r="H84" s="594"/>
      <c r="I84" s="594"/>
      <c r="J84" s="594"/>
      <c r="K84" s="594"/>
      <c r="L84" s="594"/>
      <c r="M84" s="594"/>
      <c r="N84" s="595"/>
      <c r="O84" s="594"/>
      <c r="P84" s="594"/>
      <c r="Q84" s="594"/>
      <c r="R84" s="594"/>
      <c r="S84" s="594"/>
      <c r="T84" s="594"/>
      <c r="U84" s="594"/>
      <c r="V84" s="594"/>
      <c r="W84" s="594"/>
      <c r="X84" s="594"/>
      <c r="Y84" s="595"/>
      <c r="Z84" s="604"/>
      <c r="AA84" s="605"/>
      <c r="AB84" s="605"/>
      <c r="AC84" s="588"/>
      <c r="AD84" s="607"/>
      <c r="AE84" s="608"/>
      <c r="AF84" s="608"/>
      <c r="AG84" s="440"/>
      <c r="AH84" s="440"/>
      <c r="AI84" s="440"/>
      <c r="AJ84" s="584"/>
      <c r="AK84" s="609"/>
      <c r="AL84" s="607"/>
      <c r="AM84" s="607"/>
      <c r="AN84" s="608"/>
      <c r="AO84" s="608"/>
      <c r="AP84" s="440"/>
      <c r="AQ84" s="609"/>
    </row>
    <row r="85" spans="1:43" x14ac:dyDescent="0.2">
      <c r="A85" s="602"/>
      <c r="B85" s="603" t="s">
        <v>461</v>
      </c>
      <c r="C85" s="593"/>
      <c r="D85" s="594"/>
      <c r="E85" s="594"/>
      <c r="F85" s="594"/>
      <c r="G85" s="594"/>
      <c r="H85" s="594"/>
      <c r="I85" s="594"/>
      <c r="J85" s="594"/>
      <c r="K85" s="594"/>
      <c r="L85" s="594"/>
      <c r="M85" s="594"/>
      <c r="N85" s="595"/>
      <c r="O85" s="594"/>
      <c r="P85" s="594"/>
      <c r="Q85" s="594"/>
      <c r="R85" s="594"/>
      <c r="S85" s="594"/>
      <c r="T85" s="594"/>
      <c r="U85" s="594"/>
      <c r="V85" s="594"/>
      <c r="W85" s="594"/>
      <c r="X85" s="594"/>
      <c r="Y85" s="595"/>
      <c r="Z85" s="604"/>
      <c r="AA85" s="605"/>
      <c r="AB85" s="605"/>
      <c r="AC85" s="588"/>
      <c r="AD85" s="607"/>
      <c r="AE85" s="608"/>
      <c r="AF85" s="608"/>
      <c r="AG85" s="440"/>
      <c r="AH85" s="440"/>
      <c r="AI85" s="440"/>
      <c r="AJ85" s="584"/>
      <c r="AK85" s="609"/>
      <c r="AL85" s="607"/>
      <c r="AM85" s="607"/>
      <c r="AN85" s="608"/>
      <c r="AO85" s="608"/>
      <c r="AP85" s="440"/>
      <c r="AQ85" s="609"/>
    </row>
    <row r="86" spans="1:43" x14ac:dyDescent="0.2">
      <c r="A86" s="610"/>
      <c r="B86" s="611" t="s">
        <v>462</v>
      </c>
      <c r="C86" s="249"/>
      <c r="D86" s="250"/>
      <c r="E86" s="250"/>
      <c r="F86" s="250"/>
      <c r="G86" s="250"/>
      <c r="H86" s="250"/>
      <c r="I86" s="250"/>
      <c r="J86" s="250"/>
      <c r="K86" s="250"/>
      <c r="L86" s="250"/>
      <c r="M86" s="250"/>
      <c r="N86" s="251"/>
      <c r="O86" s="250"/>
      <c r="P86" s="250"/>
      <c r="Q86" s="250"/>
      <c r="R86" s="250"/>
      <c r="S86" s="250"/>
      <c r="T86" s="250"/>
      <c r="U86" s="250"/>
      <c r="V86" s="250"/>
      <c r="W86" s="250"/>
      <c r="X86" s="250"/>
      <c r="Y86" s="251"/>
      <c r="Z86" s="587"/>
      <c r="AA86" s="588"/>
      <c r="AB86" s="588"/>
      <c r="AC86" s="588"/>
      <c r="AD86" s="612"/>
      <c r="AE86" s="613"/>
      <c r="AF86" s="613"/>
      <c r="AG86" s="440"/>
      <c r="AH86" s="440"/>
      <c r="AI86" s="440"/>
      <c r="AJ86" s="584"/>
      <c r="AK86" s="590"/>
      <c r="AL86" s="612"/>
      <c r="AM86" s="612"/>
      <c r="AN86" s="613"/>
      <c r="AO86" s="613"/>
      <c r="AP86" s="440"/>
      <c r="AQ86" s="590"/>
    </row>
    <row r="87" spans="1:43" ht="96" x14ac:dyDescent="0.2">
      <c r="A87" s="211" t="s">
        <v>675</v>
      </c>
      <c r="B87" s="586" t="s">
        <v>425</v>
      </c>
      <c r="C87" s="252"/>
      <c r="D87" s="253"/>
      <c r="E87" s="253"/>
      <c r="F87" s="253"/>
      <c r="G87" s="253"/>
      <c r="H87" s="253"/>
      <c r="I87" s="253"/>
      <c r="J87" s="253"/>
      <c r="K87" s="253"/>
      <c r="L87" s="253"/>
      <c r="M87" s="253"/>
      <c r="N87" s="254"/>
      <c r="O87" s="253"/>
      <c r="P87" s="253"/>
      <c r="Q87" s="253"/>
      <c r="R87" s="253"/>
      <c r="S87" s="253"/>
      <c r="T87" s="253"/>
      <c r="U87" s="253" t="s">
        <v>680</v>
      </c>
      <c r="V87" s="253" t="s">
        <v>680</v>
      </c>
      <c r="W87" s="253" t="s">
        <v>680</v>
      </c>
      <c r="X87" s="253" t="s">
        <v>680</v>
      </c>
      <c r="Y87" s="254"/>
      <c r="Z87" s="478"/>
      <c r="AA87" s="479"/>
      <c r="AB87" s="479"/>
      <c r="AC87" s="588"/>
      <c r="AD87" s="442">
        <v>15</v>
      </c>
      <c r="AE87" s="224">
        <v>28</v>
      </c>
      <c r="AF87" s="224">
        <v>880</v>
      </c>
      <c r="AG87" s="440">
        <f t="shared" si="0"/>
        <v>13200</v>
      </c>
      <c r="AH87" s="440">
        <f t="shared" si="1"/>
        <v>24640</v>
      </c>
      <c r="AI87" s="440">
        <f t="shared" si="2"/>
        <v>11440</v>
      </c>
      <c r="AJ87" s="584">
        <v>2838</v>
      </c>
      <c r="AK87" s="444"/>
      <c r="AL87" s="442"/>
      <c r="AM87" s="442"/>
      <c r="AN87" s="224"/>
      <c r="AO87" s="224"/>
      <c r="AP87" s="440">
        <f t="shared" si="3"/>
        <v>0</v>
      </c>
      <c r="AQ87" s="444"/>
    </row>
    <row r="88" spans="1:43" ht="24" x14ac:dyDescent="0.2">
      <c r="A88" s="591" t="s">
        <v>676</v>
      </c>
      <c r="B88" s="592" t="s">
        <v>426</v>
      </c>
      <c r="C88" s="615"/>
      <c r="D88" s="616"/>
      <c r="E88" s="616"/>
      <c r="F88" s="616"/>
      <c r="G88" s="616" t="s">
        <v>680</v>
      </c>
      <c r="H88" s="616" t="s">
        <v>680</v>
      </c>
      <c r="I88" s="616" t="s">
        <v>680</v>
      </c>
      <c r="J88" s="616" t="s">
        <v>680</v>
      </c>
      <c r="K88" s="616" t="s">
        <v>680</v>
      </c>
      <c r="L88" s="616" t="s">
        <v>680</v>
      </c>
      <c r="M88" s="616" t="s">
        <v>680</v>
      </c>
      <c r="N88" s="617" t="s">
        <v>680</v>
      </c>
      <c r="O88" s="616" t="s">
        <v>680</v>
      </c>
      <c r="P88" s="616" t="s">
        <v>680</v>
      </c>
      <c r="Q88" s="616" t="s">
        <v>680</v>
      </c>
      <c r="R88" s="616" t="s">
        <v>680</v>
      </c>
      <c r="S88" s="616" t="s">
        <v>680</v>
      </c>
      <c r="T88" s="616" t="s">
        <v>680</v>
      </c>
      <c r="U88" s="616" t="s">
        <v>680</v>
      </c>
      <c r="V88" s="616" t="s">
        <v>680</v>
      </c>
      <c r="W88" s="616" t="s">
        <v>680</v>
      </c>
      <c r="X88" s="616" t="s">
        <v>680</v>
      </c>
      <c r="Y88" s="617" t="s">
        <v>680</v>
      </c>
      <c r="Z88" s="618"/>
      <c r="AA88" s="619"/>
      <c r="AB88" s="619"/>
      <c r="AC88" s="588"/>
      <c r="AD88" s="599">
        <v>244</v>
      </c>
      <c r="AE88" s="600">
        <v>330</v>
      </c>
      <c r="AF88" s="600">
        <v>880</v>
      </c>
      <c r="AG88" s="440">
        <f t="shared" si="0"/>
        <v>214720</v>
      </c>
      <c r="AH88" s="440">
        <f t="shared" si="1"/>
        <v>290400</v>
      </c>
      <c r="AI88" s="440">
        <f t="shared" si="2"/>
        <v>75680</v>
      </c>
      <c r="AJ88" s="584">
        <v>37884</v>
      </c>
      <c r="AK88" s="621"/>
      <c r="AL88" s="599"/>
      <c r="AM88" s="599"/>
      <c r="AN88" s="600"/>
      <c r="AO88" s="600"/>
      <c r="AP88" s="440">
        <f t="shared" si="3"/>
        <v>0</v>
      </c>
      <c r="AQ88" s="621"/>
    </row>
    <row r="89" spans="1:43" x14ac:dyDescent="0.2">
      <c r="A89" s="602"/>
      <c r="B89" s="603" t="s">
        <v>452</v>
      </c>
      <c r="C89" s="593"/>
      <c r="D89" s="594"/>
      <c r="E89" s="594"/>
      <c r="F89" s="594"/>
      <c r="G89" s="594"/>
      <c r="H89" s="594"/>
      <c r="I89" s="594"/>
      <c r="J89" s="594"/>
      <c r="K89" s="594"/>
      <c r="L89" s="594"/>
      <c r="M89" s="594"/>
      <c r="N89" s="595"/>
      <c r="O89" s="594"/>
      <c r="P89" s="594"/>
      <c r="Q89" s="594"/>
      <c r="R89" s="594"/>
      <c r="S89" s="594"/>
      <c r="T89" s="594"/>
      <c r="U89" s="594"/>
      <c r="V89" s="594"/>
      <c r="W89" s="594"/>
      <c r="X89" s="594"/>
      <c r="Y89" s="595"/>
      <c r="Z89" s="604"/>
      <c r="AA89" s="605"/>
      <c r="AB89" s="605"/>
      <c r="AC89" s="588"/>
      <c r="AD89" s="607"/>
      <c r="AE89" s="608"/>
      <c r="AF89" s="608"/>
      <c r="AG89" s="440"/>
      <c r="AH89" s="440"/>
      <c r="AI89" s="440"/>
      <c r="AJ89" s="584"/>
      <c r="AK89" s="609"/>
      <c r="AL89" s="607"/>
      <c r="AM89" s="607"/>
      <c r="AN89" s="608"/>
      <c r="AO89" s="608"/>
      <c r="AP89" s="440"/>
      <c r="AQ89" s="609"/>
    </row>
    <row r="90" spans="1:43" x14ac:dyDescent="0.2">
      <c r="A90" s="602"/>
      <c r="B90" s="603" t="s">
        <v>427</v>
      </c>
      <c r="C90" s="593"/>
      <c r="D90" s="594"/>
      <c r="E90" s="594"/>
      <c r="F90" s="594"/>
      <c r="G90" s="594"/>
      <c r="H90" s="594"/>
      <c r="I90" s="594"/>
      <c r="J90" s="594"/>
      <c r="K90" s="594"/>
      <c r="L90" s="594"/>
      <c r="M90" s="594"/>
      <c r="N90" s="595"/>
      <c r="O90" s="594"/>
      <c r="P90" s="594"/>
      <c r="Q90" s="594"/>
      <c r="R90" s="594"/>
      <c r="S90" s="594"/>
      <c r="T90" s="594"/>
      <c r="U90" s="594"/>
      <c r="V90" s="594"/>
      <c r="W90" s="594"/>
      <c r="X90" s="594"/>
      <c r="Y90" s="595"/>
      <c r="Z90" s="604"/>
      <c r="AA90" s="605"/>
      <c r="AB90" s="605"/>
      <c r="AC90" s="588"/>
      <c r="AD90" s="607"/>
      <c r="AE90" s="608"/>
      <c r="AF90" s="608"/>
      <c r="AG90" s="440"/>
      <c r="AH90" s="440"/>
      <c r="AI90" s="440"/>
      <c r="AJ90" s="584"/>
      <c r="AK90" s="609"/>
      <c r="AL90" s="607"/>
      <c r="AM90" s="607"/>
      <c r="AN90" s="608"/>
      <c r="AO90" s="608"/>
      <c r="AP90" s="440"/>
      <c r="AQ90" s="609"/>
    </row>
    <row r="91" spans="1:43" x14ac:dyDescent="0.2">
      <c r="A91" s="602"/>
      <c r="B91" s="603" t="s">
        <v>428</v>
      </c>
      <c r="C91" s="593"/>
      <c r="D91" s="594"/>
      <c r="E91" s="594"/>
      <c r="F91" s="594"/>
      <c r="G91" s="594"/>
      <c r="H91" s="594"/>
      <c r="I91" s="594"/>
      <c r="J91" s="594"/>
      <c r="K91" s="594"/>
      <c r="L91" s="594"/>
      <c r="M91" s="594"/>
      <c r="N91" s="595"/>
      <c r="O91" s="594"/>
      <c r="P91" s="594"/>
      <c r="Q91" s="594"/>
      <c r="R91" s="594"/>
      <c r="S91" s="594"/>
      <c r="T91" s="594"/>
      <c r="U91" s="594"/>
      <c r="V91" s="594"/>
      <c r="W91" s="594"/>
      <c r="X91" s="594"/>
      <c r="Y91" s="595"/>
      <c r="Z91" s="604"/>
      <c r="AA91" s="605"/>
      <c r="AB91" s="605"/>
      <c r="AC91" s="588"/>
      <c r="AD91" s="607"/>
      <c r="AE91" s="608"/>
      <c r="AF91" s="608"/>
      <c r="AG91" s="440"/>
      <c r="AH91" s="440"/>
      <c r="AI91" s="440"/>
      <c r="AJ91" s="584"/>
      <c r="AK91" s="609"/>
      <c r="AL91" s="607"/>
      <c r="AM91" s="607"/>
      <c r="AN91" s="608"/>
      <c r="AO91" s="608"/>
      <c r="AP91" s="440"/>
      <c r="AQ91" s="609"/>
    </row>
    <row r="92" spans="1:43" x14ac:dyDescent="0.2">
      <c r="A92" s="602"/>
      <c r="B92" s="603" t="s">
        <v>429</v>
      </c>
      <c r="C92" s="593"/>
      <c r="D92" s="594"/>
      <c r="E92" s="594"/>
      <c r="F92" s="594"/>
      <c r="G92" s="594"/>
      <c r="H92" s="594"/>
      <c r="I92" s="594"/>
      <c r="J92" s="594"/>
      <c r="K92" s="594"/>
      <c r="L92" s="594"/>
      <c r="M92" s="594"/>
      <c r="N92" s="595"/>
      <c r="O92" s="594"/>
      <c r="P92" s="594"/>
      <c r="Q92" s="594"/>
      <c r="R92" s="594"/>
      <c r="S92" s="594"/>
      <c r="T92" s="594"/>
      <c r="U92" s="594"/>
      <c r="V92" s="594"/>
      <c r="W92" s="594"/>
      <c r="X92" s="594"/>
      <c r="Y92" s="595"/>
      <c r="Z92" s="604"/>
      <c r="AA92" s="605"/>
      <c r="AB92" s="605"/>
      <c r="AC92" s="588"/>
      <c r="AD92" s="607"/>
      <c r="AE92" s="608"/>
      <c r="AF92" s="608"/>
      <c r="AG92" s="440"/>
      <c r="AH92" s="440"/>
      <c r="AI92" s="440"/>
      <c r="AJ92" s="584"/>
      <c r="AK92" s="609"/>
      <c r="AL92" s="607"/>
      <c r="AM92" s="607"/>
      <c r="AN92" s="608"/>
      <c r="AO92" s="608"/>
      <c r="AP92" s="440"/>
      <c r="AQ92" s="609"/>
    </row>
    <row r="93" spans="1:43" x14ac:dyDescent="0.2">
      <c r="A93" s="602"/>
      <c r="B93" s="603" t="s">
        <v>430</v>
      </c>
      <c r="C93" s="593"/>
      <c r="D93" s="594"/>
      <c r="E93" s="594"/>
      <c r="F93" s="594"/>
      <c r="G93" s="594"/>
      <c r="H93" s="594"/>
      <c r="I93" s="594"/>
      <c r="J93" s="594"/>
      <c r="K93" s="594"/>
      <c r="L93" s="594"/>
      <c r="M93" s="594"/>
      <c r="N93" s="595"/>
      <c r="O93" s="594"/>
      <c r="P93" s="594"/>
      <c r="Q93" s="594"/>
      <c r="R93" s="594"/>
      <c r="S93" s="594"/>
      <c r="T93" s="594"/>
      <c r="U93" s="594"/>
      <c r="V93" s="594"/>
      <c r="W93" s="594"/>
      <c r="X93" s="594"/>
      <c r="Y93" s="595"/>
      <c r="Z93" s="604"/>
      <c r="AA93" s="605"/>
      <c r="AB93" s="605"/>
      <c r="AC93" s="588"/>
      <c r="AD93" s="607"/>
      <c r="AE93" s="608"/>
      <c r="AF93" s="608"/>
      <c r="AG93" s="440"/>
      <c r="AH93" s="440"/>
      <c r="AI93" s="440"/>
      <c r="AJ93" s="584"/>
      <c r="AK93" s="609"/>
      <c r="AL93" s="607"/>
      <c r="AM93" s="607"/>
      <c r="AN93" s="608"/>
      <c r="AO93" s="608"/>
      <c r="AP93" s="440"/>
      <c r="AQ93" s="609"/>
    </row>
    <row r="94" spans="1:43" ht="48" x14ac:dyDescent="0.2">
      <c r="A94" s="602"/>
      <c r="B94" s="603" t="s">
        <v>431</v>
      </c>
      <c r="C94" s="593"/>
      <c r="D94" s="594"/>
      <c r="E94" s="594"/>
      <c r="F94" s="594"/>
      <c r="G94" s="594"/>
      <c r="H94" s="594"/>
      <c r="I94" s="594"/>
      <c r="J94" s="594"/>
      <c r="K94" s="594"/>
      <c r="L94" s="594"/>
      <c r="M94" s="594"/>
      <c r="N94" s="595"/>
      <c r="O94" s="594"/>
      <c r="P94" s="594"/>
      <c r="Q94" s="594"/>
      <c r="R94" s="594"/>
      <c r="S94" s="594"/>
      <c r="T94" s="594"/>
      <c r="U94" s="594"/>
      <c r="V94" s="594"/>
      <c r="W94" s="594"/>
      <c r="X94" s="594"/>
      <c r="Y94" s="595"/>
      <c r="Z94" s="604"/>
      <c r="AA94" s="605"/>
      <c r="AB94" s="605"/>
      <c r="AC94" s="588"/>
      <c r="AD94" s="607"/>
      <c r="AE94" s="608"/>
      <c r="AF94" s="608"/>
      <c r="AG94" s="440"/>
      <c r="AH94" s="440"/>
      <c r="AI94" s="440"/>
      <c r="AJ94" s="584"/>
      <c r="AK94" s="609"/>
      <c r="AL94" s="607"/>
      <c r="AM94" s="607"/>
      <c r="AN94" s="608"/>
      <c r="AO94" s="608"/>
      <c r="AP94" s="440"/>
      <c r="AQ94" s="609"/>
    </row>
    <row r="95" spans="1:43" x14ac:dyDescent="0.2">
      <c r="A95" s="602"/>
      <c r="B95" s="603" t="s">
        <v>432</v>
      </c>
      <c r="C95" s="593"/>
      <c r="D95" s="594"/>
      <c r="E95" s="594"/>
      <c r="F95" s="594"/>
      <c r="G95" s="594"/>
      <c r="H95" s="594"/>
      <c r="I95" s="594"/>
      <c r="J95" s="594"/>
      <c r="K95" s="594"/>
      <c r="L95" s="594"/>
      <c r="M95" s="594"/>
      <c r="N95" s="595"/>
      <c r="O95" s="594"/>
      <c r="P95" s="594"/>
      <c r="Q95" s="594"/>
      <c r="R95" s="594"/>
      <c r="S95" s="594"/>
      <c r="T95" s="594"/>
      <c r="U95" s="594"/>
      <c r="V95" s="594"/>
      <c r="W95" s="594"/>
      <c r="X95" s="594"/>
      <c r="Y95" s="595"/>
      <c r="Z95" s="604"/>
      <c r="AA95" s="605"/>
      <c r="AB95" s="605"/>
      <c r="AC95" s="588"/>
      <c r="AD95" s="607"/>
      <c r="AE95" s="608"/>
      <c r="AF95" s="608"/>
      <c r="AG95" s="440"/>
      <c r="AH95" s="440"/>
      <c r="AI95" s="440"/>
      <c r="AJ95" s="584"/>
      <c r="AK95" s="609"/>
      <c r="AL95" s="607"/>
      <c r="AM95" s="607"/>
      <c r="AN95" s="608"/>
      <c r="AO95" s="608"/>
      <c r="AP95" s="440"/>
      <c r="AQ95" s="609"/>
    </row>
    <row r="96" spans="1:43" ht="24" x14ac:dyDescent="0.2">
      <c r="A96" s="602"/>
      <c r="B96" s="603" t="s">
        <v>433</v>
      </c>
      <c r="C96" s="593"/>
      <c r="D96" s="594"/>
      <c r="E96" s="594"/>
      <c r="F96" s="594"/>
      <c r="G96" s="594"/>
      <c r="H96" s="594"/>
      <c r="I96" s="594"/>
      <c r="J96" s="594"/>
      <c r="K96" s="594"/>
      <c r="L96" s="594"/>
      <c r="M96" s="594"/>
      <c r="N96" s="595"/>
      <c r="O96" s="594"/>
      <c r="P96" s="594"/>
      <c r="Q96" s="594"/>
      <c r="R96" s="594"/>
      <c r="S96" s="594"/>
      <c r="T96" s="594"/>
      <c r="U96" s="594"/>
      <c r="V96" s="594"/>
      <c r="W96" s="594"/>
      <c r="X96" s="594"/>
      <c r="Y96" s="595"/>
      <c r="Z96" s="604"/>
      <c r="AA96" s="605"/>
      <c r="AB96" s="605"/>
      <c r="AC96" s="588"/>
      <c r="AD96" s="607"/>
      <c r="AE96" s="608"/>
      <c r="AF96" s="608"/>
      <c r="AG96" s="440"/>
      <c r="AH96" s="440"/>
      <c r="AI96" s="440"/>
      <c r="AJ96" s="584"/>
      <c r="AK96" s="609"/>
      <c r="AL96" s="607"/>
      <c r="AM96" s="607"/>
      <c r="AN96" s="608"/>
      <c r="AO96" s="608"/>
      <c r="AP96" s="440"/>
      <c r="AQ96" s="609"/>
    </row>
    <row r="97" spans="1:43" x14ac:dyDescent="0.2">
      <c r="A97" s="602"/>
      <c r="B97" s="603" t="s">
        <v>434</v>
      </c>
      <c r="C97" s="593"/>
      <c r="D97" s="594"/>
      <c r="E97" s="594"/>
      <c r="F97" s="594"/>
      <c r="G97" s="594"/>
      <c r="H97" s="594"/>
      <c r="I97" s="594"/>
      <c r="J97" s="594"/>
      <c r="K97" s="594"/>
      <c r="L97" s="594"/>
      <c r="M97" s="594"/>
      <c r="N97" s="595"/>
      <c r="O97" s="594"/>
      <c r="P97" s="594"/>
      <c r="Q97" s="594"/>
      <c r="R97" s="594"/>
      <c r="S97" s="594"/>
      <c r="T97" s="594"/>
      <c r="U97" s="594"/>
      <c r="V97" s="594"/>
      <c r="W97" s="594"/>
      <c r="X97" s="594"/>
      <c r="Y97" s="595"/>
      <c r="Z97" s="604"/>
      <c r="AA97" s="605"/>
      <c r="AB97" s="605"/>
      <c r="AC97" s="588"/>
      <c r="AD97" s="607"/>
      <c r="AE97" s="608"/>
      <c r="AF97" s="608"/>
      <c r="AG97" s="440"/>
      <c r="AH97" s="440"/>
      <c r="AI97" s="440"/>
      <c r="AJ97" s="584"/>
      <c r="AK97" s="609"/>
      <c r="AL97" s="607"/>
      <c r="AM97" s="607"/>
      <c r="AN97" s="608"/>
      <c r="AO97" s="608"/>
      <c r="AP97" s="440"/>
      <c r="AQ97" s="609"/>
    </row>
    <row r="98" spans="1:43" ht="36" x14ac:dyDescent="0.2">
      <c r="A98" s="602"/>
      <c r="B98" s="603" t="s">
        <v>435</v>
      </c>
      <c r="C98" s="593"/>
      <c r="D98" s="594"/>
      <c r="E98" s="594"/>
      <c r="F98" s="594"/>
      <c r="G98" s="594"/>
      <c r="H98" s="594"/>
      <c r="I98" s="594"/>
      <c r="J98" s="594"/>
      <c r="K98" s="594"/>
      <c r="L98" s="594"/>
      <c r="M98" s="594"/>
      <c r="N98" s="595"/>
      <c r="O98" s="594"/>
      <c r="P98" s="594"/>
      <c r="Q98" s="594"/>
      <c r="R98" s="594"/>
      <c r="S98" s="594"/>
      <c r="T98" s="594"/>
      <c r="U98" s="594"/>
      <c r="V98" s="594"/>
      <c r="W98" s="594"/>
      <c r="X98" s="594"/>
      <c r="Y98" s="595"/>
      <c r="Z98" s="604"/>
      <c r="AA98" s="605"/>
      <c r="AB98" s="605"/>
      <c r="AC98" s="588"/>
      <c r="AD98" s="607"/>
      <c r="AE98" s="608"/>
      <c r="AF98" s="608"/>
      <c r="AG98" s="440"/>
      <c r="AH98" s="440"/>
      <c r="AI98" s="440"/>
      <c r="AJ98" s="584"/>
      <c r="AK98" s="609"/>
      <c r="AL98" s="607"/>
      <c r="AM98" s="607"/>
      <c r="AN98" s="608"/>
      <c r="AO98" s="608"/>
      <c r="AP98" s="440"/>
      <c r="AQ98" s="609"/>
    </row>
    <row r="99" spans="1:43" x14ac:dyDescent="0.2">
      <c r="A99" s="602"/>
      <c r="B99" s="603" t="s">
        <v>436</v>
      </c>
      <c r="C99" s="593"/>
      <c r="D99" s="594"/>
      <c r="E99" s="594"/>
      <c r="F99" s="594"/>
      <c r="G99" s="594"/>
      <c r="H99" s="594"/>
      <c r="I99" s="594"/>
      <c r="J99" s="594"/>
      <c r="K99" s="594"/>
      <c r="L99" s="594"/>
      <c r="M99" s="594"/>
      <c r="N99" s="595"/>
      <c r="O99" s="594"/>
      <c r="P99" s="594"/>
      <c r="Q99" s="594"/>
      <c r="R99" s="594"/>
      <c r="S99" s="594"/>
      <c r="T99" s="594"/>
      <c r="U99" s="594"/>
      <c r="V99" s="594"/>
      <c r="W99" s="594"/>
      <c r="X99" s="594"/>
      <c r="Y99" s="595"/>
      <c r="Z99" s="604"/>
      <c r="AA99" s="605"/>
      <c r="AB99" s="605"/>
      <c r="AC99" s="588"/>
      <c r="AD99" s="607"/>
      <c r="AE99" s="608"/>
      <c r="AF99" s="608"/>
      <c r="AG99" s="440"/>
      <c r="AH99" s="440"/>
      <c r="AI99" s="440"/>
      <c r="AJ99" s="584"/>
      <c r="AK99" s="609"/>
      <c r="AL99" s="607"/>
      <c r="AM99" s="607"/>
      <c r="AN99" s="608"/>
      <c r="AO99" s="608"/>
      <c r="AP99" s="440"/>
      <c r="AQ99" s="609"/>
    </row>
    <row r="100" spans="1:43" x14ac:dyDescent="0.2">
      <c r="A100" s="602"/>
      <c r="B100" s="603" t="s">
        <v>437</v>
      </c>
      <c r="C100" s="593"/>
      <c r="D100" s="594"/>
      <c r="E100" s="594"/>
      <c r="F100" s="594"/>
      <c r="G100" s="594"/>
      <c r="H100" s="594"/>
      <c r="I100" s="594"/>
      <c r="J100" s="594"/>
      <c r="K100" s="594"/>
      <c r="L100" s="594"/>
      <c r="M100" s="594"/>
      <c r="N100" s="595"/>
      <c r="O100" s="594"/>
      <c r="P100" s="594"/>
      <c r="Q100" s="594"/>
      <c r="R100" s="594"/>
      <c r="S100" s="594"/>
      <c r="T100" s="594"/>
      <c r="U100" s="594"/>
      <c r="V100" s="594"/>
      <c r="W100" s="594"/>
      <c r="X100" s="594"/>
      <c r="Y100" s="595"/>
      <c r="Z100" s="604"/>
      <c r="AA100" s="605"/>
      <c r="AB100" s="605"/>
      <c r="AC100" s="588"/>
      <c r="AD100" s="607"/>
      <c r="AE100" s="608"/>
      <c r="AF100" s="608"/>
      <c r="AG100" s="440"/>
      <c r="AH100" s="440"/>
      <c r="AI100" s="440"/>
      <c r="AJ100" s="584"/>
      <c r="AK100" s="609"/>
      <c r="AL100" s="607"/>
      <c r="AM100" s="607"/>
      <c r="AN100" s="608"/>
      <c r="AO100" s="608"/>
      <c r="AP100" s="440"/>
      <c r="AQ100" s="609"/>
    </row>
    <row r="101" spans="1:43" x14ac:dyDescent="0.2">
      <c r="A101" s="602"/>
      <c r="B101" s="603" t="s">
        <v>438</v>
      </c>
      <c r="C101" s="593"/>
      <c r="D101" s="594"/>
      <c r="E101" s="594"/>
      <c r="F101" s="594"/>
      <c r="G101" s="594"/>
      <c r="H101" s="594"/>
      <c r="I101" s="594"/>
      <c r="J101" s="594"/>
      <c r="K101" s="594"/>
      <c r="L101" s="594"/>
      <c r="M101" s="594"/>
      <c r="N101" s="595"/>
      <c r="O101" s="594"/>
      <c r="P101" s="594"/>
      <c r="Q101" s="594"/>
      <c r="R101" s="594"/>
      <c r="S101" s="594"/>
      <c r="T101" s="594"/>
      <c r="U101" s="594"/>
      <c r="V101" s="594"/>
      <c r="W101" s="594"/>
      <c r="X101" s="594"/>
      <c r="Y101" s="595"/>
      <c r="Z101" s="604"/>
      <c r="AA101" s="605"/>
      <c r="AB101" s="605"/>
      <c r="AC101" s="588"/>
      <c r="AD101" s="607"/>
      <c r="AE101" s="608"/>
      <c r="AF101" s="608"/>
      <c r="AG101" s="440"/>
      <c r="AH101" s="440"/>
      <c r="AI101" s="440"/>
      <c r="AJ101" s="584"/>
      <c r="AK101" s="609"/>
      <c r="AL101" s="607"/>
      <c r="AM101" s="607"/>
      <c r="AN101" s="608"/>
      <c r="AO101" s="608"/>
      <c r="AP101" s="440"/>
      <c r="AQ101" s="609"/>
    </row>
    <row r="102" spans="1:43" x14ac:dyDescent="0.2">
      <c r="A102" s="602"/>
      <c r="B102" s="603" t="s">
        <v>439</v>
      </c>
      <c r="C102" s="593"/>
      <c r="D102" s="594"/>
      <c r="E102" s="594"/>
      <c r="F102" s="594"/>
      <c r="G102" s="594"/>
      <c r="H102" s="594"/>
      <c r="I102" s="594"/>
      <c r="J102" s="594"/>
      <c r="K102" s="594"/>
      <c r="L102" s="594"/>
      <c r="M102" s="594"/>
      <c r="N102" s="595"/>
      <c r="O102" s="594"/>
      <c r="P102" s="594"/>
      <c r="Q102" s="594"/>
      <c r="R102" s="594"/>
      <c r="S102" s="594"/>
      <c r="T102" s="594"/>
      <c r="U102" s="594"/>
      <c r="V102" s="594"/>
      <c r="W102" s="594"/>
      <c r="X102" s="594"/>
      <c r="Y102" s="595"/>
      <c r="Z102" s="604"/>
      <c r="AA102" s="605"/>
      <c r="AB102" s="605"/>
      <c r="AC102" s="588"/>
      <c r="AD102" s="607"/>
      <c r="AE102" s="608"/>
      <c r="AF102" s="608"/>
      <c r="AG102" s="440"/>
      <c r="AH102" s="440"/>
      <c r="AI102" s="440"/>
      <c r="AJ102" s="584"/>
      <c r="AK102" s="609"/>
      <c r="AL102" s="607"/>
      <c r="AM102" s="607"/>
      <c r="AN102" s="608"/>
      <c r="AO102" s="608"/>
      <c r="AP102" s="440"/>
      <c r="AQ102" s="609"/>
    </row>
    <row r="103" spans="1:43" x14ac:dyDescent="0.2">
      <c r="A103" s="602"/>
      <c r="B103" s="603" t="s">
        <v>440</v>
      </c>
      <c r="C103" s="593"/>
      <c r="D103" s="594"/>
      <c r="E103" s="594"/>
      <c r="F103" s="594"/>
      <c r="G103" s="594"/>
      <c r="H103" s="594"/>
      <c r="I103" s="594"/>
      <c r="J103" s="594"/>
      <c r="K103" s="594"/>
      <c r="L103" s="594"/>
      <c r="M103" s="594"/>
      <c r="N103" s="595"/>
      <c r="O103" s="594"/>
      <c r="P103" s="594"/>
      <c r="Q103" s="594"/>
      <c r="R103" s="594"/>
      <c r="S103" s="594"/>
      <c r="T103" s="594"/>
      <c r="U103" s="594"/>
      <c r="V103" s="594"/>
      <c r="W103" s="594"/>
      <c r="X103" s="594"/>
      <c r="Y103" s="595"/>
      <c r="Z103" s="604"/>
      <c r="AA103" s="605"/>
      <c r="AB103" s="605"/>
      <c r="AC103" s="588"/>
      <c r="AD103" s="607"/>
      <c r="AE103" s="608"/>
      <c r="AF103" s="608"/>
      <c r="AG103" s="440"/>
      <c r="AH103" s="440"/>
      <c r="AI103" s="440"/>
      <c r="AJ103" s="584"/>
      <c r="AK103" s="609"/>
      <c r="AL103" s="607"/>
      <c r="AM103" s="607"/>
      <c r="AN103" s="608"/>
      <c r="AO103" s="608"/>
      <c r="AP103" s="440"/>
      <c r="AQ103" s="609"/>
    </row>
    <row r="104" spans="1:43" x14ac:dyDescent="0.2">
      <c r="A104" s="602"/>
      <c r="B104" s="603" t="s">
        <v>441</v>
      </c>
      <c r="C104" s="593"/>
      <c r="D104" s="594"/>
      <c r="E104" s="594"/>
      <c r="F104" s="594"/>
      <c r="G104" s="594"/>
      <c r="H104" s="594"/>
      <c r="I104" s="594"/>
      <c r="J104" s="594"/>
      <c r="K104" s="594"/>
      <c r="L104" s="594"/>
      <c r="M104" s="594"/>
      <c r="N104" s="595"/>
      <c r="O104" s="594"/>
      <c r="P104" s="594"/>
      <c r="Q104" s="594"/>
      <c r="R104" s="594"/>
      <c r="S104" s="594"/>
      <c r="T104" s="594"/>
      <c r="U104" s="594"/>
      <c r="V104" s="594"/>
      <c r="W104" s="594"/>
      <c r="X104" s="594"/>
      <c r="Y104" s="595"/>
      <c r="Z104" s="604"/>
      <c r="AA104" s="605"/>
      <c r="AB104" s="605"/>
      <c r="AC104" s="588"/>
      <c r="AD104" s="607"/>
      <c r="AE104" s="608"/>
      <c r="AF104" s="608"/>
      <c r="AG104" s="440"/>
      <c r="AH104" s="440"/>
      <c r="AI104" s="440"/>
      <c r="AJ104" s="584"/>
      <c r="AK104" s="609"/>
      <c r="AL104" s="607"/>
      <c r="AM104" s="607"/>
      <c r="AN104" s="608"/>
      <c r="AO104" s="608"/>
      <c r="AP104" s="440"/>
      <c r="AQ104" s="609"/>
    </row>
    <row r="105" spans="1:43" ht="24" x14ac:dyDescent="0.2">
      <c r="A105" s="602"/>
      <c r="B105" s="603" t="s">
        <v>442</v>
      </c>
      <c r="C105" s="593"/>
      <c r="D105" s="594"/>
      <c r="E105" s="594"/>
      <c r="F105" s="594"/>
      <c r="G105" s="594"/>
      <c r="H105" s="594"/>
      <c r="I105" s="594"/>
      <c r="J105" s="594"/>
      <c r="K105" s="594"/>
      <c r="L105" s="594"/>
      <c r="M105" s="594"/>
      <c r="N105" s="595"/>
      <c r="O105" s="594"/>
      <c r="P105" s="594"/>
      <c r="Q105" s="594"/>
      <c r="R105" s="594"/>
      <c r="S105" s="594"/>
      <c r="T105" s="594"/>
      <c r="U105" s="594"/>
      <c r="V105" s="594"/>
      <c r="W105" s="594"/>
      <c r="X105" s="594"/>
      <c r="Y105" s="595"/>
      <c r="Z105" s="604"/>
      <c r="AA105" s="605"/>
      <c r="AB105" s="605"/>
      <c r="AC105" s="588"/>
      <c r="AD105" s="607"/>
      <c r="AE105" s="608"/>
      <c r="AF105" s="608"/>
      <c r="AG105" s="440"/>
      <c r="AH105" s="440"/>
      <c r="AI105" s="440"/>
      <c r="AJ105" s="584"/>
      <c r="AK105" s="609"/>
      <c r="AL105" s="607"/>
      <c r="AM105" s="607"/>
      <c r="AN105" s="608"/>
      <c r="AO105" s="608"/>
      <c r="AP105" s="440"/>
      <c r="AQ105" s="609"/>
    </row>
    <row r="106" spans="1:43" ht="24" x14ac:dyDescent="0.2">
      <c r="A106" s="602"/>
      <c r="B106" s="603" t="s">
        <v>443</v>
      </c>
      <c r="C106" s="593"/>
      <c r="D106" s="594"/>
      <c r="E106" s="594"/>
      <c r="F106" s="594"/>
      <c r="G106" s="594"/>
      <c r="H106" s="594"/>
      <c r="I106" s="594"/>
      <c r="J106" s="594"/>
      <c r="K106" s="594"/>
      <c r="L106" s="594"/>
      <c r="M106" s="594"/>
      <c r="N106" s="595"/>
      <c r="O106" s="594"/>
      <c r="P106" s="594"/>
      <c r="Q106" s="594"/>
      <c r="R106" s="594"/>
      <c r="S106" s="594"/>
      <c r="T106" s="594"/>
      <c r="U106" s="594"/>
      <c r="V106" s="594"/>
      <c r="W106" s="594"/>
      <c r="X106" s="594"/>
      <c r="Y106" s="595"/>
      <c r="Z106" s="604"/>
      <c r="AA106" s="605"/>
      <c r="AB106" s="605"/>
      <c r="AC106" s="588"/>
      <c r="AD106" s="607"/>
      <c r="AE106" s="608"/>
      <c r="AF106" s="608"/>
      <c r="AG106" s="440"/>
      <c r="AH106" s="440"/>
      <c r="AI106" s="440"/>
      <c r="AJ106" s="584"/>
      <c r="AK106" s="609"/>
      <c r="AL106" s="607"/>
      <c r="AM106" s="607"/>
      <c r="AN106" s="608"/>
      <c r="AO106" s="608"/>
      <c r="AP106" s="440"/>
      <c r="AQ106" s="609"/>
    </row>
    <row r="107" spans="1:43" x14ac:dyDescent="0.2">
      <c r="A107" s="602"/>
      <c r="B107" s="603" t="s">
        <v>444</v>
      </c>
      <c r="C107" s="593"/>
      <c r="D107" s="594"/>
      <c r="E107" s="594"/>
      <c r="F107" s="594"/>
      <c r="G107" s="594"/>
      <c r="H107" s="594"/>
      <c r="I107" s="594"/>
      <c r="J107" s="594"/>
      <c r="K107" s="594"/>
      <c r="L107" s="594"/>
      <c r="M107" s="594"/>
      <c r="N107" s="595"/>
      <c r="O107" s="594"/>
      <c r="P107" s="594"/>
      <c r="Q107" s="594"/>
      <c r="R107" s="594"/>
      <c r="S107" s="594"/>
      <c r="T107" s="594"/>
      <c r="U107" s="594"/>
      <c r="V107" s="594"/>
      <c r="W107" s="594"/>
      <c r="X107" s="594"/>
      <c r="Y107" s="595"/>
      <c r="Z107" s="604"/>
      <c r="AA107" s="605"/>
      <c r="AB107" s="605"/>
      <c r="AC107" s="588"/>
      <c r="AD107" s="607"/>
      <c r="AE107" s="608"/>
      <c r="AF107" s="608"/>
      <c r="AG107" s="440"/>
      <c r="AH107" s="440"/>
      <c r="AI107" s="440"/>
      <c r="AJ107" s="584"/>
      <c r="AK107" s="609"/>
      <c r="AL107" s="607"/>
      <c r="AM107" s="607"/>
      <c r="AN107" s="608"/>
      <c r="AO107" s="608"/>
      <c r="AP107" s="440"/>
      <c r="AQ107" s="609"/>
    </row>
    <row r="108" spans="1:43" x14ac:dyDescent="0.2">
      <c r="A108" s="602"/>
      <c r="B108" s="603" t="s">
        <v>445</v>
      </c>
      <c r="C108" s="593"/>
      <c r="D108" s="594"/>
      <c r="E108" s="594"/>
      <c r="F108" s="594"/>
      <c r="G108" s="594"/>
      <c r="H108" s="594"/>
      <c r="I108" s="594"/>
      <c r="J108" s="594"/>
      <c r="K108" s="594"/>
      <c r="L108" s="594"/>
      <c r="M108" s="594"/>
      <c r="N108" s="595"/>
      <c r="O108" s="594"/>
      <c r="P108" s="594"/>
      <c r="Q108" s="594"/>
      <c r="R108" s="594"/>
      <c r="S108" s="594"/>
      <c r="T108" s="594"/>
      <c r="U108" s="594"/>
      <c r="V108" s="594"/>
      <c r="W108" s="594"/>
      <c r="X108" s="594"/>
      <c r="Y108" s="595"/>
      <c r="Z108" s="604"/>
      <c r="AA108" s="605"/>
      <c r="AB108" s="605"/>
      <c r="AC108" s="588"/>
      <c r="AD108" s="607"/>
      <c r="AE108" s="608"/>
      <c r="AF108" s="608"/>
      <c r="AG108" s="440"/>
      <c r="AH108" s="440"/>
      <c r="AI108" s="440"/>
      <c r="AJ108" s="584"/>
      <c r="AK108" s="609"/>
      <c r="AL108" s="607"/>
      <c r="AM108" s="607"/>
      <c r="AN108" s="608"/>
      <c r="AO108" s="608"/>
      <c r="AP108" s="440"/>
      <c r="AQ108" s="609"/>
    </row>
    <row r="109" spans="1:43" x14ac:dyDescent="0.2">
      <c r="A109" s="602"/>
      <c r="B109" s="603" t="s">
        <v>446</v>
      </c>
      <c r="C109" s="593"/>
      <c r="D109" s="594"/>
      <c r="E109" s="594"/>
      <c r="F109" s="594"/>
      <c r="G109" s="594"/>
      <c r="H109" s="594"/>
      <c r="I109" s="594"/>
      <c r="J109" s="594"/>
      <c r="K109" s="594"/>
      <c r="L109" s="594"/>
      <c r="M109" s="594"/>
      <c r="N109" s="595"/>
      <c r="O109" s="594"/>
      <c r="P109" s="594"/>
      <c r="Q109" s="594"/>
      <c r="R109" s="594"/>
      <c r="S109" s="594"/>
      <c r="T109" s="594"/>
      <c r="U109" s="594"/>
      <c r="V109" s="594"/>
      <c r="W109" s="594"/>
      <c r="X109" s="594"/>
      <c r="Y109" s="595"/>
      <c r="Z109" s="604"/>
      <c r="AA109" s="605"/>
      <c r="AB109" s="605"/>
      <c r="AC109" s="588"/>
      <c r="AD109" s="607"/>
      <c r="AE109" s="608"/>
      <c r="AF109" s="608"/>
      <c r="AG109" s="440"/>
      <c r="AH109" s="440"/>
      <c r="AI109" s="440"/>
      <c r="AJ109" s="584"/>
      <c r="AK109" s="609"/>
      <c r="AL109" s="607"/>
      <c r="AM109" s="607"/>
      <c r="AN109" s="608"/>
      <c r="AO109" s="608"/>
      <c r="AP109" s="440"/>
      <c r="AQ109" s="609"/>
    </row>
    <row r="110" spans="1:43" ht="24" x14ac:dyDescent="0.2">
      <c r="A110" s="602"/>
      <c r="B110" s="603" t="s">
        <v>447</v>
      </c>
      <c r="C110" s="593"/>
      <c r="D110" s="594"/>
      <c r="E110" s="594"/>
      <c r="F110" s="594"/>
      <c r="G110" s="594"/>
      <c r="H110" s="594"/>
      <c r="I110" s="594"/>
      <c r="J110" s="594"/>
      <c r="K110" s="594"/>
      <c r="L110" s="594"/>
      <c r="M110" s="594"/>
      <c r="N110" s="595"/>
      <c r="O110" s="594"/>
      <c r="P110" s="594"/>
      <c r="Q110" s="594"/>
      <c r="R110" s="594"/>
      <c r="S110" s="594"/>
      <c r="T110" s="594"/>
      <c r="U110" s="594"/>
      <c r="V110" s="594"/>
      <c r="W110" s="594"/>
      <c r="X110" s="594"/>
      <c r="Y110" s="595"/>
      <c r="Z110" s="604"/>
      <c r="AA110" s="605"/>
      <c r="AB110" s="605"/>
      <c r="AC110" s="588"/>
      <c r="AD110" s="607"/>
      <c r="AE110" s="608"/>
      <c r="AF110" s="608"/>
      <c r="AG110" s="440"/>
      <c r="AH110" s="440"/>
      <c r="AI110" s="440"/>
      <c r="AJ110" s="584"/>
      <c r="AK110" s="609"/>
      <c r="AL110" s="607"/>
      <c r="AM110" s="607"/>
      <c r="AN110" s="608"/>
      <c r="AO110" s="608"/>
      <c r="AP110" s="440"/>
      <c r="AQ110" s="609"/>
    </row>
    <row r="111" spans="1:43" ht="24" x14ac:dyDescent="0.2">
      <c r="A111" s="602"/>
      <c r="B111" s="603" t="s">
        <v>448</v>
      </c>
      <c r="C111" s="593"/>
      <c r="D111" s="594"/>
      <c r="E111" s="594"/>
      <c r="F111" s="594"/>
      <c r="G111" s="594"/>
      <c r="H111" s="594"/>
      <c r="I111" s="594"/>
      <c r="J111" s="594"/>
      <c r="K111" s="594"/>
      <c r="L111" s="594"/>
      <c r="M111" s="594"/>
      <c r="N111" s="595"/>
      <c r="O111" s="594"/>
      <c r="P111" s="594"/>
      <c r="Q111" s="594"/>
      <c r="R111" s="594"/>
      <c r="S111" s="594"/>
      <c r="T111" s="594"/>
      <c r="U111" s="594"/>
      <c r="V111" s="594"/>
      <c r="W111" s="594"/>
      <c r="X111" s="594"/>
      <c r="Y111" s="595"/>
      <c r="Z111" s="604"/>
      <c r="AA111" s="605"/>
      <c r="AB111" s="605"/>
      <c r="AC111" s="588"/>
      <c r="AD111" s="607"/>
      <c r="AE111" s="608"/>
      <c r="AF111" s="608"/>
      <c r="AG111" s="440"/>
      <c r="AH111" s="440"/>
      <c r="AI111" s="440"/>
      <c r="AJ111" s="584"/>
      <c r="AK111" s="609"/>
      <c r="AL111" s="607"/>
      <c r="AM111" s="607"/>
      <c r="AN111" s="608"/>
      <c r="AO111" s="608"/>
      <c r="AP111" s="440"/>
      <c r="AQ111" s="609"/>
    </row>
    <row r="112" spans="1:43" ht="24" x14ac:dyDescent="0.2">
      <c r="A112" s="602"/>
      <c r="B112" s="603" t="s">
        <v>449</v>
      </c>
      <c r="C112" s="593"/>
      <c r="D112" s="594"/>
      <c r="E112" s="594"/>
      <c r="F112" s="594"/>
      <c r="G112" s="594"/>
      <c r="H112" s="594"/>
      <c r="I112" s="594"/>
      <c r="J112" s="594"/>
      <c r="K112" s="594"/>
      <c r="L112" s="594"/>
      <c r="M112" s="594"/>
      <c r="N112" s="595"/>
      <c r="O112" s="594"/>
      <c r="P112" s="594"/>
      <c r="Q112" s="594"/>
      <c r="R112" s="594"/>
      <c r="S112" s="594"/>
      <c r="T112" s="594"/>
      <c r="U112" s="594"/>
      <c r="V112" s="594"/>
      <c r="W112" s="594"/>
      <c r="X112" s="594"/>
      <c r="Y112" s="595"/>
      <c r="Z112" s="604"/>
      <c r="AA112" s="605"/>
      <c r="AB112" s="605"/>
      <c r="AC112" s="588"/>
      <c r="AD112" s="607"/>
      <c r="AE112" s="608"/>
      <c r="AF112" s="608"/>
      <c r="AG112" s="440"/>
      <c r="AH112" s="440"/>
      <c r="AI112" s="440"/>
      <c r="AJ112" s="584"/>
      <c r="AK112" s="609"/>
      <c r="AL112" s="607"/>
      <c r="AM112" s="607"/>
      <c r="AN112" s="608"/>
      <c r="AO112" s="608"/>
      <c r="AP112" s="440"/>
      <c r="AQ112" s="609"/>
    </row>
    <row r="113" spans="1:43" x14ac:dyDescent="0.2">
      <c r="A113" s="602"/>
      <c r="B113" s="603" t="s">
        <v>450</v>
      </c>
      <c r="C113" s="593"/>
      <c r="D113" s="594"/>
      <c r="E113" s="594"/>
      <c r="F113" s="594"/>
      <c r="G113" s="594"/>
      <c r="H113" s="594"/>
      <c r="I113" s="594"/>
      <c r="J113" s="594"/>
      <c r="K113" s="594"/>
      <c r="L113" s="594"/>
      <c r="M113" s="594"/>
      <c r="N113" s="595"/>
      <c r="O113" s="594"/>
      <c r="P113" s="594"/>
      <c r="Q113" s="594"/>
      <c r="R113" s="594"/>
      <c r="S113" s="594"/>
      <c r="T113" s="594"/>
      <c r="U113" s="594"/>
      <c r="V113" s="594"/>
      <c r="W113" s="594"/>
      <c r="X113" s="594"/>
      <c r="Y113" s="595"/>
      <c r="Z113" s="604"/>
      <c r="AA113" s="605"/>
      <c r="AB113" s="605"/>
      <c r="AC113" s="588"/>
      <c r="AD113" s="607"/>
      <c r="AE113" s="608"/>
      <c r="AF113" s="608"/>
      <c r="AG113" s="440"/>
      <c r="AH113" s="440"/>
      <c r="AI113" s="440"/>
      <c r="AJ113" s="584"/>
      <c r="AK113" s="609"/>
      <c r="AL113" s="607"/>
      <c r="AM113" s="607"/>
      <c r="AN113" s="608"/>
      <c r="AO113" s="608"/>
      <c r="AP113" s="440"/>
      <c r="AQ113" s="609"/>
    </row>
    <row r="114" spans="1:43" ht="24" x14ac:dyDescent="0.2">
      <c r="A114" s="602"/>
      <c r="B114" s="603" t="s">
        <v>451</v>
      </c>
      <c r="C114" s="593"/>
      <c r="D114" s="594"/>
      <c r="E114" s="594"/>
      <c r="F114" s="594"/>
      <c r="G114" s="594"/>
      <c r="H114" s="594"/>
      <c r="I114" s="594"/>
      <c r="J114" s="594"/>
      <c r="K114" s="594"/>
      <c r="L114" s="594"/>
      <c r="M114" s="594"/>
      <c r="N114" s="595"/>
      <c r="O114" s="594"/>
      <c r="P114" s="594"/>
      <c r="Q114" s="594"/>
      <c r="R114" s="594"/>
      <c r="S114" s="594"/>
      <c r="T114" s="594"/>
      <c r="U114" s="594"/>
      <c r="V114" s="594"/>
      <c r="W114" s="594"/>
      <c r="X114" s="594"/>
      <c r="Y114" s="595"/>
      <c r="Z114" s="604"/>
      <c r="AA114" s="605"/>
      <c r="AB114" s="605"/>
      <c r="AC114" s="588"/>
      <c r="AD114" s="607"/>
      <c r="AE114" s="608"/>
      <c r="AF114" s="608"/>
      <c r="AG114" s="440"/>
      <c r="AH114" s="440"/>
      <c r="AI114" s="440"/>
      <c r="AJ114" s="584"/>
      <c r="AK114" s="609"/>
      <c r="AL114" s="607"/>
      <c r="AM114" s="607"/>
      <c r="AN114" s="608"/>
      <c r="AO114" s="608"/>
      <c r="AP114" s="440"/>
      <c r="AQ114" s="609"/>
    </row>
    <row r="115" spans="1:43" x14ac:dyDescent="0.2">
      <c r="A115" s="602"/>
      <c r="B115" s="603" t="s">
        <v>453</v>
      </c>
      <c r="C115" s="593"/>
      <c r="D115" s="594"/>
      <c r="E115" s="594"/>
      <c r="F115" s="594"/>
      <c r="G115" s="594"/>
      <c r="H115" s="594"/>
      <c r="I115" s="594"/>
      <c r="J115" s="594"/>
      <c r="K115" s="594"/>
      <c r="L115" s="594"/>
      <c r="M115" s="594"/>
      <c r="N115" s="595"/>
      <c r="O115" s="594"/>
      <c r="P115" s="594"/>
      <c r="Q115" s="594"/>
      <c r="R115" s="594"/>
      <c r="S115" s="594"/>
      <c r="T115" s="594"/>
      <c r="U115" s="594"/>
      <c r="V115" s="594"/>
      <c r="W115" s="594"/>
      <c r="X115" s="594"/>
      <c r="Y115" s="595"/>
      <c r="Z115" s="604"/>
      <c r="AA115" s="605"/>
      <c r="AB115" s="605"/>
      <c r="AC115" s="588"/>
      <c r="AD115" s="607"/>
      <c r="AE115" s="608"/>
      <c r="AF115" s="608"/>
      <c r="AG115" s="440"/>
      <c r="AH115" s="440"/>
      <c r="AI115" s="440"/>
      <c r="AJ115" s="584"/>
      <c r="AK115" s="609"/>
      <c r="AL115" s="607"/>
      <c r="AM115" s="607"/>
      <c r="AN115" s="608"/>
      <c r="AO115" s="608"/>
      <c r="AP115" s="440"/>
      <c r="AQ115" s="609"/>
    </row>
    <row r="116" spans="1:43" x14ac:dyDescent="0.2">
      <c r="A116" s="591" t="s">
        <v>148</v>
      </c>
      <c r="B116" s="592"/>
      <c r="C116" s="615" t="s">
        <v>680</v>
      </c>
      <c r="D116" s="616" t="s">
        <v>680</v>
      </c>
      <c r="E116" s="616" t="s">
        <v>680</v>
      </c>
      <c r="F116" s="616" t="s">
        <v>680</v>
      </c>
      <c r="G116" s="616" t="s">
        <v>680</v>
      </c>
      <c r="H116" s="616" t="s">
        <v>680</v>
      </c>
      <c r="I116" s="616" t="s">
        <v>680</v>
      </c>
      <c r="J116" s="616" t="s">
        <v>680</v>
      </c>
      <c r="K116" s="616" t="s">
        <v>680</v>
      </c>
      <c r="L116" s="616" t="s">
        <v>680</v>
      </c>
      <c r="M116" s="616" t="s">
        <v>680</v>
      </c>
      <c r="N116" s="617" t="s">
        <v>680</v>
      </c>
      <c r="O116" s="616" t="s">
        <v>680</v>
      </c>
      <c r="P116" s="616" t="s">
        <v>680</v>
      </c>
      <c r="Q116" s="616" t="s">
        <v>680</v>
      </c>
      <c r="R116" s="616" t="s">
        <v>680</v>
      </c>
      <c r="S116" s="616" t="s">
        <v>680</v>
      </c>
      <c r="T116" s="616" t="s">
        <v>680</v>
      </c>
      <c r="U116" s="616" t="s">
        <v>680</v>
      </c>
      <c r="V116" s="616" t="s">
        <v>680</v>
      </c>
      <c r="W116" s="616" t="s">
        <v>680</v>
      </c>
      <c r="X116" s="616" t="s">
        <v>680</v>
      </c>
      <c r="Y116" s="617" t="s">
        <v>680</v>
      </c>
      <c r="Z116" s="618"/>
      <c r="AA116" s="619"/>
      <c r="AB116" s="619"/>
      <c r="AC116" s="588"/>
      <c r="AD116" s="599">
        <v>620</v>
      </c>
      <c r="AE116" s="600">
        <v>766</v>
      </c>
      <c r="AF116" s="600">
        <v>880</v>
      </c>
      <c r="AG116" s="440">
        <f t="shared" si="0"/>
        <v>545600</v>
      </c>
      <c r="AH116" s="440">
        <f t="shared" ref="AH116" si="4">AE116*AF116+AC116</f>
        <v>674080</v>
      </c>
      <c r="AI116" s="440">
        <f t="shared" ref="AI116" si="5">AH116-AG116</f>
        <v>128480</v>
      </c>
      <c r="AJ116" s="584"/>
      <c r="AK116" s="621"/>
      <c r="AL116" s="599"/>
      <c r="AM116" s="599"/>
      <c r="AN116" s="600"/>
      <c r="AO116" s="600"/>
      <c r="AP116" s="440">
        <v>0</v>
      </c>
      <c r="AQ116" s="621"/>
    </row>
    <row r="117" spans="1:43" x14ac:dyDescent="0.2">
      <c r="A117" s="591"/>
      <c r="B117" s="592"/>
      <c r="C117" s="615"/>
      <c r="D117" s="616"/>
      <c r="E117" s="616"/>
      <c r="F117" s="616"/>
      <c r="G117" s="616"/>
      <c r="H117" s="616"/>
      <c r="I117" s="616"/>
      <c r="J117" s="616"/>
      <c r="K117" s="616"/>
      <c r="L117" s="616"/>
      <c r="M117" s="616"/>
      <c r="N117" s="617"/>
      <c r="O117" s="616"/>
      <c r="P117" s="616"/>
      <c r="Q117" s="616"/>
      <c r="R117" s="616"/>
      <c r="S117" s="616"/>
      <c r="T117" s="616"/>
      <c r="U117" s="616"/>
      <c r="V117" s="616"/>
      <c r="W117" s="616"/>
      <c r="X117" s="616"/>
      <c r="Y117" s="617"/>
      <c r="Z117" s="618"/>
      <c r="AA117" s="619"/>
      <c r="AB117" s="619"/>
      <c r="AC117" s="620"/>
      <c r="AD117" s="599"/>
      <c r="AE117" s="600"/>
      <c r="AF117" s="600"/>
      <c r="AG117" s="440"/>
      <c r="AH117" s="440"/>
      <c r="AI117" s="440"/>
      <c r="AJ117" s="584"/>
      <c r="AK117" s="621"/>
      <c r="AL117" s="599"/>
      <c r="AM117" s="599"/>
      <c r="AN117" s="600"/>
      <c r="AO117" s="600"/>
      <c r="AP117" s="440"/>
      <c r="AQ117" s="621"/>
    </row>
    <row r="118" spans="1:43" ht="24.75" thickBot="1" x14ac:dyDescent="0.25">
      <c r="A118" s="614" t="s">
        <v>484</v>
      </c>
      <c r="B118" s="614"/>
      <c r="C118" s="255" t="s">
        <v>680</v>
      </c>
      <c r="D118" s="256" t="s">
        <v>680</v>
      </c>
      <c r="E118" s="256" t="s">
        <v>680</v>
      </c>
      <c r="F118" s="256" t="s">
        <v>680</v>
      </c>
      <c r="G118" s="256" t="s">
        <v>680</v>
      </c>
      <c r="H118" s="256" t="s">
        <v>680</v>
      </c>
      <c r="I118" s="256" t="s">
        <v>680</v>
      </c>
      <c r="J118" s="256" t="s">
        <v>680</v>
      </c>
      <c r="K118" s="256" t="s">
        <v>680</v>
      </c>
      <c r="L118" s="256" t="s">
        <v>680</v>
      </c>
      <c r="M118" s="256" t="s">
        <v>680</v>
      </c>
      <c r="N118" s="257" t="s">
        <v>680</v>
      </c>
      <c r="O118" s="256" t="s">
        <v>680</v>
      </c>
      <c r="P118" s="256" t="s">
        <v>680</v>
      </c>
      <c r="Q118" s="256" t="s">
        <v>680</v>
      </c>
      <c r="R118" s="256" t="s">
        <v>680</v>
      </c>
      <c r="S118" s="256" t="s">
        <v>680</v>
      </c>
      <c r="T118" s="256" t="s">
        <v>680</v>
      </c>
      <c r="U118" s="256" t="s">
        <v>680</v>
      </c>
      <c r="V118" s="256" t="s">
        <v>680</v>
      </c>
      <c r="W118" s="256" t="s">
        <v>680</v>
      </c>
      <c r="X118" s="256" t="s">
        <v>680</v>
      </c>
      <c r="Y118" s="257" t="s">
        <v>680</v>
      </c>
      <c r="Z118" s="481"/>
      <c r="AA118" s="482"/>
      <c r="AB118" s="482"/>
      <c r="AC118" s="483"/>
      <c r="AD118" s="443">
        <v>72</v>
      </c>
      <c r="AE118" s="225">
        <v>84</v>
      </c>
      <c r="AF118" s="225">
        <v>880</v>
      </c>
      <c r="AG118" s="477">
        <f t="shared" si="0"/>
        <v>63360</v>
      </c>
      <c r="AH118" s="477">
        <f t="shared" si="1"/>
        <v>73920</v>
      </c>
      <c r="AI118" s="477">
        <f t="shared" si="2"/>
        <v>10560</v>
      </c>
      <c r="AJ118" s="585">
        <v>4000</v>
      </c>
      <c r="AK118" s="445"/>
      <c r="AL118" s="443"/>
      <c r="AM118" s="443"/>
      <c r="AN118" s="225"/>
      <c r="AO118" s="225"/>
      <c r="AP118" s="440">
        <f t="shared" si="3"/>
        <v>0</v>
      </c>
      <c r="AQ118" s="445"/>
    </row>
    <row r="119" spans="1:43" ht="12.75" thickBot="1" x14ac:dyDescent="0.25">
      <c r="A119" s="205" t="s">
        <v>149</v>
      </c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475"/>
      <c r="AA119" s="475"/>
      <c r="AB119" s="475"/>
      <c r="AC119" s="475">
        <f t="shared" ref="AC119:AI119" si="6">SUM(AC6:AC118)</f>
        <v>104400</v>
      </c>
      <c r="AD119" s="220">
        <f t="shared" si="6"/>
        <v>9710</v>
      </c>
      <c r="AE119" s="220">
        <f t="shared" si="6"/>
        <v>10591</v>
      </c>
      <c r="AF119" s="220">
        <f t="shared" si="6"/>
        <v>6160</v>
      </c>
      <c r="AG119" s="222">
        <f t="shared" si="6"/>
        <v>8588800</v>
      </c>
      <c r="AH119" s="222">
        <f t="shared" si="6"/>
        <v>9364080</v>
      </c>
      <c r="AI119" s="222">
        <f t="shared" si="6"/>
        <v>775280</v>
      </c>
      <c r="AJ119" s="222">
        <f>SUM(AJ6:AJ118)</f>
        <v>1242094</v>
      </c>
      <c r="AK119" s="236"/>
      <c r="AL119" s="220"/>
      <c r="AM119" s="220">
        <f>SUM(AM6:AM118)</f>
        <v>0</v>
      </c>
      <c r="AN119" s="220">
        <f>SUM(AN6:AN118)</f>
        <v>0</v>
      </c>
      <c r="AO119" s="220">
        <f>SUM(AO6:AO118)</f>
        <v>0</v>
      </c>
      <c r="AP119" s="222">
        <f>SUM(AP6:AP118)</f>
        <v>0</v>
      </c>
      <c r="AQ119" s="222"/>
    </row>
    <row r="120" spans="1:43" x14ac:dyDescent="0.2">
      <c r="AC120" s="116" t="s">
        <v>686</v>
      </c>
      <c r="AD120" s="116">
        <f>AVERAGE(AD119:AE119)</f>
        <v>10150.5</v>
      </c>
    </row>
    <row r="122" spans="1:43" ht="15.75" x14ac:dyDescent="0.25">
      <c r="AG122" s="123"/>
    </row>
  </sheetData>
  <mergeCells count="7">
    <mergeCell ref="AQ4:AQ5"/>
    <mergeCell ref="A1:B1"/>
    <mergeCell ref="C1:AQ1"/>
    <mergeCell ref="Z2:AK2"/>
    <mergeCell ref="AL2:AQ2"/>
    <mergeCell ref="Z3:AC3"/>
    <mergeCell ref="AD3:AK3"/>
  </mergeCells>
  <conditionalFormatting sqref="C6:AC71 C117:AC118 C72:AB116">
    <cfRule type="colorScale" priority="2">
      <colorScale>
        <cfvo type="num" val="0"/>
        <cfvo type="num" val="1"/>
        <color theme="0"/>
        <color theme="2" tint="-0.249977111117893"/>
      </colorScale>
    </cfRule>
  </conditionalFormatting>
  <conditionalFormatting sqref="AC72:AC116">
    <cfRule type="colorScale" priority="1">
      <colorScale>
        <cfvo type="num" val="0"/>
        <cfvo type="num" val="1"/>
        <color theme="0"/>
        <color theme="2" tint="-0.249977111117893"/>
      </colorScale>
    </cfRule>
  </conditionalFormatting>
  <pageMargins left="0.7" right="0.7" top="0.75" bottom="0.75" header="0.3" footer="0.3"/>
  <pageSetup paperSize="9" scale="1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Úvod</vt:lpstr>
      <vt:lpstr>Zoznam hárkov</vt:lpstr>
      <vt:lpstr>Sumarizácia</vt:lpstr>
      <vt:lpstr>CBA - Agendové IS</vt:lpstr>
      <vt:lpstr>Návratnosť v rokoch</vt:lpstr>
      <vt:lpstr>Analyza citlivosti - AgendovéIS</vt:lpstr>
      <vt:lpstr>Prínosy - Agendové IS</vt:lpstr>
      <vt:lpstr>Výdavky - Agendové IS</vt:lpstr>
      <vt:lpstr>Parametre - Agendové IS</vt:lpstr>
      <vt:lpstr>TCO</vt:lpstr>
      <vt:lpstr>TCO AS IS - SW</vt:lpstr>
      <vt:lpstr>TCO AS IS - HW</vt:lpstr>
      <vt:lpstr>TCO TO BE- SW</vt:lpstr>
      <vt:lpstr>TCO TO BE - HW</vt:lpstr>
      <vt:lpstr>Prevodník rozpočet na TCO</vt:lpstr>
      <vt:lpstr>Rozpocet_koniec_projektu</vt:lpstr>
      <vt:lpstr>Rozpočet - vývoj Aplikácií</vt:lpstr>
      <vt:lpstr>Rozpočet - HW a licencie</vt:lpstr>
      <vt:lpstr>Faktory</vt:lpstr>
      <vt:lpstr>Procesné mapy</vt:lpstr>
      <vt:lpstr>Procesy - AS IS</vt:lpstr>
      <vt:lpstr>Procesy - ∆</vt:lpstr>
      <vt:lpstr>Procesy - TO BE</vt:lpstr>
      <vt:lpstr>Štatistika meraní</vt:lpstr>
      <vt:lpstr>Počet inšpektorov</vt:lpstr>
      <vt:lpstr>Optimalizačné opatrenia</vt:lpstr>
      <vt:lpstr>Rozdelenie prínosov</vt:lpstr>
      <vt:lpstr>Slepý rozpočet</vt:lpstr>
      <vt:lpstr>Indik_rozp.-ALFABASE</vt:lpstr>
      <vt:lpstr>Indik_rozp.YMS</vt:lpstr>
      <vt:lpstr>Indik_rozp.-ASPECTA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Krok Martin</dc:creator>
  <dc:description>Vratane modulov</dc:description>
  <cp:lastModifiedBy>Arpád Nagy</cp:lastModifiedBy>
  <cp:lastPrinted>2018-11-17T08:29:00Z</cp:lastPrinted>
  <dcterms:created xsi:type="dcterms:W3CDTF">2015-01-29T13:50:20Z</dcterms:created>
  <dcterms:modified xsi:type="dcterms:W3CDTF">2024-06-28T08:39:40Z</dcterms:modified>
</cp:coreProperties>
</file>